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85" activeTab="0"/>
  </bookViews>
  <sheets>
    <sheet name="Дашборд" sheetId="1" r:id="rId1"/>
    <sheet name="Данные" sheetId="2" r:id="rId2"/>
    <sheet name="Расчеты" sheetId="3" r:id="rId3"/>
  </sheets>
  <definedNames>
    <definedName name="критерий_сортировки">'Расчеты'!$D$6</definedName>
  </definedNames>
  <calcPr fullCalcOnLoad="1"/>
</workbook>
</file>

<file path=xl/sharedStrings.xml><?xml version="1.0" encoding="utf-8"?>
<sst xmlns="http://schemas.openxmlformats.org/spreadsheetml/2006/main" count="209" uniqueCount="163">
  <si>
    <t>№</t>
  </si>
  <si>
    <t>Продукт</t>
  </si>
  <si>
    <t>KPI 1</t>
  </si>
  <si>
    <t>KPI 2</t>
  </si>
  <si>
    <t>KPI 3</t>
  </si>
  <si>
    <t>KPI 4</t>
  </si>
  <si>
    <t>KPI 5</t>
  </si>
  <si>
    <t>Продукт 1</t>
  </si>
  <si>
    <t>Продукт 2</t>
  </si>
  <si>
    <t>Продукт 3</t>
  </si>
  <si>
    <t>Продукт 4</t>
  </si>
  <si>
    <t>Продукт 5</t>
  </si>
  <si>
    <t>Продукт 6</t>
  </si>
  <si>
    <t>Продукт 7</t>
  </si>
  <si>
    <t>Продукт 8</t>
  </si>
  <si>
    <t>Продукт 9</t>
  </si>
  <si>
    <t>Продукт 10</t>
  </si>
  <si>
    <t>Продукт 11</t>
  </si>
  <si>
    <t>Продукт 12</t>
  </si>
  <si>
    <t>Продукт 13</t>
  </si>
  <si>
    <t>Продукт 14</t>
  </si>
  <si>
    <t>Продукт 15</t>
  </si>
  <si>
    <t>Продукт 16</t>
  </si>
  <si>
    <t>Продукт 17</t>
  </si>
  <si>
    <t>Продукт 18</t>
  </si>
  <si>
    <t>Продукт 19</t>
  </si>
  <si>
    <t>Продукт 20</t>
  </si>
  <si>
    <t>Продукт 21</t>
  </si>
  <si>
    <t>Продукт 22</t>
  </si>
  <si>
    <t>Продукт 23</t>
  </si>
  <si>
    <t>Продукт 24</t>
  </si>
  <si>
    <t>Продукт 25</t>
  </si>
  <si>
    <t>Продукт 26</t>
  </si>
  <si>
    <t>Продукт 27</t>
  </si>
  <si>
    <t>Продукт 28</t>
  </si>
  <si>
    <t>Продукт 29</t>
  </si>
  <si>
    <t>Продукт 30</t>
  </si>
  <si>
    <t>Продукт 31</t>
  </si>
  <si>
    <t>Продукт 32</t>
  </si>
  <si>
    <t>Продукт 33</t>
  </si>
  <si>
    <t>Продукт 34</t>
  </si>
  <si>
    <t>Продукт 35</t>
  </si>
  <si>
    <t>Продукт 36</t>
  </si>
  <si>
    <t>Продукт 37</t>
  </si>
  <si>
    <t>Продукт 38</t>
  </si>
  <si>
    <t>Продукт 39</t>
  </si>
  <si>
    <t>Продукт 40</t>
  </si>
  <si>
    <t>Продукт 41</t>
  </si>
  <si>
    <t>Продукт 42</t>
  </si>
  <si>
    <t>Продукт 43</t>
  </si>
  <si>
    <t>Продукт 44</t>
  </si>
  <si>
    <t>Продукт 45</t>
  </si>
  <si>
    <t>Продукт 46</t>
  </si>
  <si>
    <t>Продукт 47</t>
  </si>
  <si>
    <t>Продукт 48</t>
  </si>
  <si>
    <t>Продукт 49</t>
  </si>
  <si>
    <t>Продукт 50</t>
  </si>
  <si>
    <t>Продукт 51</t>
  </si>
  <si>
    <t>Продукт 52</t>
  </si>
  <si>
    <t>Продукт 53</t>
  </si>
  <si>
    <t>Продукт 54</t>
  </si>
  <si>
    <t>Продукт 55</t>
  </si>
  <si>
    <t>Продукт 56</t>
  </si>
  <si>
    <t>Продукт 57</t>
  </si>
  <si>
    <t>Продукт 58</t>
  </si>
  <si>
    <t>Продукт 59</t>
  </si>
  <si>
    <t>Продукт 60</t>
  </si>
  <si>
    <t>Продукт 61</t>
  </si>
  <si>
    <t>Продукт 62</t>
  </si>
  <si>
    <t>Продукт 63</t>
  </si>
  <si>
    <t>Продукт 64</t>
  </si>
  <si>
    <t>Продукт 65</t>
  </si>
  <si>
    <t>Продукт 66</t>
  </si>
  <si>
    <t>Продукт 67</t>
  </si>
  <si>
    <t>Продукт 68</t>
  </si>
  <si>
    <t>Продукт 69</t>
  </si>
  <si>
    <t>Продукт 70</t>
  </si>
  <si>
    <t>Продукт 71</t>
  </si>
  <si>
    <t>Продукт 72</t>
  </si>
  <si>
    <t>Продукт 73</t>
  </si>
  <si>
    <t>Продукт 74</t>
  </si>
  <si>
    <t>Продукт 75</t>
  </si>
  <si>
    <t>Продукт 76</t>
  </si>
  <si>
    <t>Продукт 77</t>
  </si>
  <si>
    <t>Продукт 78</t>
  </si>
  <si>
    <t>Продукт 79</t>
  </si>
  <si>
    <t>Продукт 80</t>
  </si>
  <si>
    <t>Продукт 81</t>
  </si>
  <si>
    <t>Продукт 82</t>
  </si>
  <si>
    <t>Продукт 83</t>
  </si>
  <si>
    <t>Продукт 84</t>
  </si>
  <si>
    <t>Продукт 85</t>
  </si>
  <si>
    <t>Продукт 86</t>
  </si>
  <si>
    <t>Продукт 87</t>
  </si>
  <si>
    <t>Продукт 88</t>
  </si>
  <si>
    <t>Продукт 89</t>
  </si>
  <si>
    <t>Продукт 90</t>
  </si>
  <si>
    <t>Продукт 91</t>
  </si>
  <si>
    <t>Продукт 92</t>
  </si>
  <si>
    <t>Продукт 93</t>
  </si>
  <si>
    <t>Продукт 94</t>
  </si>
  <si>
    <t>Продукт 95</t>
  </si>
  <si>
    <t>Продукт 96</t>
  </si>
  <si>
    <t>Продукт 97</t>
  </si>
  <si>
    <t>Продукт 98</t>
  </si>
  <si>
    <t>Продукт 99</t>
  </si>
  <si>
    <t>Продукт 100</t>
  </si>
  <si>
    <t>Позиция ползунка</t>
  </si>
  <si>
    <t>Максимальная позиция ползунка</t>
  </si>
  <si>
    <t>Расчеты</t>
  </si>
  <si>
    <t>Сортировать по</t>
  </si>
  <si>
    <t>Сортируемый KPI</t>
  </si>
  <si>
    <t>Уникальный KPI</t>
  </si>
  <si>
    <t>Позиция</t>
  </si>
  <si>
    <t>Отсорт-ный</t>
  </si>
  <si>
    <t>Значения для закраски в зеленый</t>
  </si>
  <si>
    <t>Значения для закраски в красный</t>
  </si>
  <si>
    <t>◄+</t>
  </si>
  <si>
    <t xml:space="preserve">◄- </t>
  </si>
  <si>
    <t>Targets</t>
  </si>
  <si>
    <t>Min</t>
  </si>
  <si>
    <t>Max</t>
  </si>
  <si>
    <t>Y Average</t>
  </si>
  <si>
    <t>Зеленый</t>
  </si>
  <si>
    <t>Красный</t>
  </si>
  <si>
    <t>Среднее</t>
  </si>
  <si>
    <t>- выше целевого значения</t>
  </si>
  <si>
    <t>███</t>
  </si>
  <si>
    <t>- ниже целевого значения</t>
  </si>
  <si>
    <t>|</t>
  </si>
  <si>
    <t xml:space="preserve"> - среднее значение</t>
  </si>
  <si>
    <t>Список показателей</t>
  </si>
  <si>
    <t>KPI1</t>
  </si>
  <si>
    <t>KPI2</t>
  </si>
  <si>
    <t>KPI3</t>
  </si>
  <si>
    <t>KPI4</t>
  </si>
  <si>
    <t>KPI5</t>
  </si>
  <si>
    <t>KPI для оси X</t>
  </si>
  <si>
    <t>KPI для оси Y</t>
  </si>
  <si>
    <t>Сравнение (точечная диагармма)</t>
  </si>
  <si>
    <t>Ось X</t>
  </si>
  <si>
    <t>Ось Y</t>
  </si>
  <si>
    <t>Все</t>
  </si>
  <si>
    <t>Видимый X</t>
  </si>
  <si>
    <t>Видимый Y</t>
  </si>
  <si>
    <t>10 видимых</t>
  </si>
  <si>
    <t>Таблица с прокруткой, сортировкой, выделением и визуализацией для дашборда v6</t>
  </si>
  <si>
    <t>Total Min</t>
  </si>
  <si>
    <t>Total Max</t>
  </si>
  <si>
    <t>10 Min</t>
  </si>
  <si>
    <t>10 Max</t>
  </si>
  <si>
    <t>Total Min - 10Min</t>
  </si>
  <si>
    <t>10Min - 10Max</t>
  </si>
  <si>
    <t>10 Max - Total Max</t>
  </si>
  <si>
    <t>Данные для создания графика распределения</t>
  </si>
  <si>
    <t>Целевое</t>
  </si>
  <si>
    <t>Нивидимое</t>
  </si>
  <si>
    <t>+</t>
  </si>
  <si>
    <t>│</t>
  </si>
  <si>
    <t>Распределение макс, мин, среднего и целевого значения показателей</t>
  </si>
  <si>
    <t>Все значения дашборда</t>
  </si>
  <si>
    <t>Среднее значение</t>
  </si>
  <si>
    <t>Целевое значение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</si>
</sst>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0_ ;[Red]\-#,##0.00;;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5"/>
      <name val="Arial"/>
      <family val="2"/>
    </font>
    <font>
      <sz val="9"/>
      <color indexed="17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2"/>
      <name val="Arial"/>
      <family val="2"/>
    </font>
    <font>
      <sz val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47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22"/>
      <name val="Arial"/>
      <family val="2"/>
    </font>
    <font>
      <u val="single"/>
      <sz val="10"/>
      <color indexed="63"/>
      <name val="Arial"/>
      <family val="2"/>
    </font>
    <font>
      <sz val="8"/>
      <color indexed="55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u val="single"/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sz val="8"/>
      <color theme="0" tint="-0.04997999966144562"/>
      <name val="Arial"/>
      <family val="2"/>
    </font>
    <font>
      <sz val="8"/>
      <color theme="0" tint="-0.24997000396251678"/>
      <name val="Arial"/>
      <family val="2"/>
    </font>
    <font>
      <b/>
      <sz val="11"/>
      <color rgb="FFFF0000"/>
      <name val="Arial"/>
      <family val="2"/>
    </font>
    <font>
      <b/>
      <sz val="10"/>
      <color theme="8"/>
      <name val="Arial"/>
      <family val="2"/>
    </font>
    <font>
      <sz val="10"/>
      <color rgb="FF00B050"/>
      <name val="Arial"/>
      <family val="2"/>
    </font>
    <font>
      <u val="single"/>
      <sz val="10"/>
      <color theme="1" tint="0.3499900102615356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>
        <color theme="0"/>
      </left>
      <right/>
      <top/>
      <bottom/>
    </border>
    <border>
      <left/>
      <right/>
      <top style="thick">
        <color theme="0"/>
      </top>
      <bottom/>
    </border>
    <border>
      <left style="thin">
        <color theme="0"/>
      </left>
      <right/>
      <top style="thick">
        <color theme="0"/>
      </top>
      <bottom/>
    </border>
    <border>
      <left/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 style="thin"/>
      <top/>
      <bottom style="hair"/>
    </border>
    <border>
      <left/>
      <right/>
      <top/>
      <bottom style="hair"/>
    </border>
    <border>
      <left/>
      <right style="medium"/>
      <top style="hair"/>
      <bottom style="hair"/>
    </border>
    <border>
      <left style="thin"/>
      <right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56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9" fillId="34" borderId="16" xfId="0" applyFont="1" applyFill="1" applyBorder="1" applyAlignment="1">
      <alignment/>
    </xf>
    <xf numFmtId="0" fontId="59" fillId="34" borderId="17" xfId="0" applyFont="1" applyFill="1" applyBorder="1" applyAlignment="1">
      <alignment/>
    </xf>
    <xf numFmtId="9" fontId="59" fillId="34" borderId="17" xfId="56" applyNumberFormat="1" applyFont="1" applyFill="1" applyBorder="1" applyAlignment="1">
      <alignment/>
    </xf>
    <xf numFmtId="0" fontId="59" fillId="35" borderId="18" xfId="0" applyFont="1" applyFill="1" applyBorder="1" applyAlignment="1">
      <alignment/>
    </xf>
    <xf numFmtId="0" fontId="59" fillId="35" borderId="19" xfId="0" applyFont="1" applyFill="1" applyBorder="1" applyAlignment="1">
      <alignment/>
    </xf>
    <xf numFmtId="9" fontId="59" fillId="35" borderId="19" xfId="56" applyNumberFormat="1" applyFont="1" applyFill="1" applyBorder="1" applyAlignment="1">
      <alignment/>
    </xf>
    <xf numFmtId="0" fontId="59" fillId="34" borderId="18" xfId="0" applyFont="1" applyFill="1" applyBorder="1" applyAlignment="1">
      <alignment/>
    </xf>
    <xf numFmtId="0" fontId="59" fillId="34" borderId="19" xfId="0" applyFont="1" applyFill="1" applyBorder="1" applyAlignment="1">
      <alignment/>
    </xf>
    <xf numFmtId="9" fontId="59" fillId="34" borderId="19" xfId="56" applyNumberFormat="1" applyFont="1" applyFill="1" applyBorder="1" applyAlignment="1">
      <alignment/>
    </xf>
    <xf numFmtId="0" fontId="3" fillId="36" borderId="20" xfId="0" applyFont="1" applyFill="1" applyBorder="1" applyAlignment="1">
      <alignment horizontal="center" vertical="top"/>
    </xf>
    <xf numFmtId="0" fontId="3" fillId="36" borderId="21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 applyProtection="1">
      <alignment horizontal="right" vertical="center"/>
      <protection hidden="1"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/>
    </xf>
    <xf numFmtId="1" fontId="0" fillId="0" borderId="12" xfId="0" applyNumberFormat="1" applyBorder="1" applyAlignment="1">
      <alignment/>
    </xf>
    <xf numFmtId="164" fontId="0" fillId="0" borderId="12" xfId="0" applyNumberFormat="1" applyFont="1" applyBorder="1" applyAlignment="1" applyProtection="1">
      <alignment horizontal="right" vertical="center"/>
      <protection hidden="1"/>
    </xf>
    <xf numFmtId="0" fontId="0" fillId="0" borderId="24" xfId="0" applyBorder="1" applyAlignment="1">
      <alignment/>
    </xf>
    <xf numFmtId="1" fontId="0" fillId="0" borderId="24" xfId="0" applyNumberFormat="1" applyBorder="1" applyAlignment="1">
      <alignment/>
    </xf>
    <xf numFmtId="164" fontId="0" fillId="0" borderId="24" xfId="0" applyNumberFormat="1" applyFont="1" applyBorder="1" applyAlignment="1" applyProtection="1">
      <alignment horizontal="right" vertical="center"/>
      <protection hidden="1"/>
    </xf>
    <xf numFmtId="0" fontId="0" fillId="0" borderId="22" xfId="0" applyFont="1" applyBorder="1" applyAlignment="1">
      <alignment horizontal="center" vertical="center" wrapText="1"/>
    </xf>
    <xf numFmtId="9" fontId="0" fillId="0" borderId="23" xfId="56" applyFont="1" applyBorder="1" applyAlignment="1">
      <alignment/>
    </xf>
    <xf numFmtId="9" fontId="0" fillId="0" borderId="24" xfId="56" applyFont="1" applyBorder="1" applyAlignment="1">
      <alignment/>
    </xf>
    <xf numFmtId="0" fontId="0" fillId="0" borderId="22" xfId="0" applyBorder="1" applyAlignment="1">
      <alignment horizontal="center" vertical="center"/>
    </xf>
    <xf numFmtId="9" fontId="0" fillId="0" borderId="0" xfId="56" applyFont="1" applyAlignment="1">
      <alignment/>
    </xf>
    <xf numFmtId="0" fontId="3" fillId="36" borderId="25" xfId="0" applyFont="1" applyFill="1" applyBorder="1" applyAlignment="1">
      <alignment horizontal="center" vertical="top"/>
    </xf>
    <xf numFmtId="0" fontId="3" fillId="36" borderId="26" xfId="0" applyFont="1" applyFill="1" applyBorder="1" applyAlignment="1">
      <alignment horizontal="center" vertical="top"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0" fillId="0" borderId="0" xfId="0" applyBorder="1" applyAlignment="1">
      <alignment/>
    </xf>
    <xf numFmtId="0" fontId="3" fillId="36" borderId="29" xfId="0" applyFont="1" applyFill="1" applyBorder="1" applyAlignment="1">
      <alignment horizontal="center" vertical="top"/>
    </xf>
    <xf numFmtId="0" fontId="3" fillId="36" borderId="30" xfId="0" applyFont="1" applyFill="1" applyBorder="1" applyAlignment="1">
      <alignment horizontal="center" vertical="top"/>
    </xf>
    <xf numFmtId="0" fontId="3" fillId="36" borderId="31" xfId="0" applyFont="1" applyFill="1" applyBorder="1" applyAlignment="1">
      <alignment horizontal="center" vertical="top"/>
    </xf>
    <xf numFmtId="9" fontId="0" fillId="0" borderId="27" xfId="56" applyFont="1" applyBorder="1" applyAlignment="1">
      <alignment/>
    </xf>
    <xf numFmtId="9" fontId="0" fillId="0" borderId="28" xfId="56" applyFont="1" applyBorder="1" applyAlignment="1">
      <alignment/>
    </xf>
    <xf numFmtId="0" fontId="60" fillId="36" borderId="32" xfId="0" applyFont="1" applyFill="1" applyBorder="1" applyAlignment="1">
      <alignment horizontal="right" vertical="top"/>
    </xf>
    <xf numFmtId="1" fontId="61" fillId="0" borderId="33" xfId="0" applyNumberFormat="1" applyFont="1" applyBorder="1" applyAlignment="1">
      <alignment/>
    </xf>
    <xf numFmtId="1" fontId="61" fillId="0" borderId="34" xfId="0" applyNumberFormat="1" applyFont="1" applyBorder="1" applyAlignment="1">
      <alignment/>
    </xf>
    <xf numFmtId="1" fontId="61" fillId="0" borderId="31" xfId="0" applyNumberFormat="1" applyFont="1" applyBorder="1" applyAlignment="1">
      <alignment/>
    </xf>
    <xf numFmtId="1" fontId="61" fillId="0" borderId="35" xfId="0" applyNumberFormat="1" applyFont="1" applyBorder="1" applyAlignment="1">
      <alignment/>
    </xf>
    <xf numFmtId="0" fontId="8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1" fontId="61" fillId="0" borderId="36" xfId="0" applyNumberFormat="1" applyFont="1" applyBorder="1" applyAlignment="1">
      <alignment/>
    </xf>
    <xf numFmtId="1" fontId="61" fillId="0" borderId="37" xfId="0" applyNumberFormat="1" applyFont="1" applyBorder="1" applyAlignment="1">
      <alignment/>
    </xf>
    <xf numFmtId="9" fontId="0" fillId="0" borderId="22" xfId="56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2" xfId="56" applyNumberFormat="1" applyFont="1" applyBorder="1" applyAlignment="1">
      <alignment horizontal="center"/>
    </xf>
    <xf numFmtId="0" fontId="0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164" fontId="0" fillId="0" borderId="23" xfId="0" applyNumberFormat="1" applyFont="1" applyBorder="1" applyAlignment="1" applyProtection="1">
      <alignment vertical="center"/>
      <protection hidden="1"/>
    </xf>
    <xf numFmtId="164" fontId="0" fillId="0" borderId="12" xfId="0" applyNumberFormat="1" applyFont="1" applyBorder="1" applyAlignment="1" applyProtection="1">
      <alignment vertical="center"/>
      <protection hidden="1"/>
    </xf>
    <xf numFmtId="164" fontId="0" fillId="0" borderId="24" xfId="0" applyNumberFormat="1" applyFont="1" applyBorder="1" applyAlignment="1" applyProtection="1">
      <alignment vertical="center"/>
      <protection hidden="1"/>
    </xf>
    <xf numFmtId="0" fontId="3" fillId="36" borderId="36" xfId="0" applyFont="1" applyFill="1" applyBorder="1" applyAlignment="1">
      <alignment horizontal="center" vertical="top"/>
    </xf>
    <xf numFmtId="0" fontId="3" fillId="36" borderId="33" xfId="0" applyFont="1" applyFill="1" applyBorder="1" applyAlignment="1">
      <alignment horizontal="center" vertical="top"/>
    </xf>
    <xf numFmtId="0" fontId="60" fillId="36" borderId="27" xfId="0" applyFont="1" applyFill="1" applyBorder="1" applyAlignment="1">
      <alignment horizontal="right" vertical="top"/>
    </xf>
    <xf numFmtId="0" fontId="0" fillId="0" borderId="38" xfId="0" applyBorder="1" applyAlignment="1">
      <alignment/>
    </xf>
    <xf numFmtId="1" fontId="0" fillId="0" borderId="38" xfId="0" applyNumberFormat="1" applyBorder="1" applyAlignment="1">
      <alignment/>
    </xf>
    <xf numFmtId="9" fontId="0" fillId="0" borderId="38" xfId="56" applyFont="1" applyBorder="1" applyAlignment="1">
      <alignment/>
    </xf>
    <xf numFmtId="0" fontId="0" fillId="0" borderId="39" xfId="0" applyBorder="1" applyAlignment="1">
      <alignment/>
    </xf>
    <xf numFmtId="1" fontId="0" fillId="0" borderId="39" xfId="0" applyNumberFormat="1" applyBorder="1" applyAlignment="1">
      <alignment/>
    </xf>
    <xf numFmtId="9" fontId="0" fillId="0" borderId="39" xfId="56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4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23" xfId="0" applyNumberFormat="1" applyFont="1" applyBorder="1" applyAlignment="1" applyProtection="1">
      <alignment horizontal="center" vertical="center" wrapText="1"/>
      <protection hidden="1"/>
    </xf>
    <xf numFmtId="0" fontId="0" fillId="0" borderId="12" xfId="33" applyNumberFormat="1" applyFont="1" applyFill="1" applyBorder="1" applyProtection="1">
      <alignment/>
      <protection hidden="1" locked="0"/>
    </xf>
    <xf numFmtId="0" fontId="0" fillId="0" borderId="24" xfId="33" applyNumberFormat="1" applyFont="1" applyFill="1" applyBorder="1" applyProtection="1">
      <alignment/>
      <protection hidden="1" locked="0"/>
    </xf>
    <xf numFmtId="164" fontId="0" fillId="0" borderId="12" xfId="33" applyNumberFormat="1" applyFont="1" applyFill="1" applyBorder="1" applyProtection="1">
      <alignment/>
      <protection hidden="1"/>
    </xf>
    <xf numFmtId="164" fontId="0" fillId="0" borderId="24" xfId="33" applyNumberFormat="1" applyFont="1" applyFill="1" applyBorder="1" applyProtection="1">
      <alignment/>
      <protection hidden="1"/>
    </xf>
    <xf numFmtId="0" fontId="0" fillId="0" borderId="23" xfId="33" applyFont="1" applyFill="1" applyBorder="1" applyProtection="1">
      <alignment/>
      <protection hidden="1"/>
    </xf>
    <xf numFmtId="1" fontId="0" fillId="0" borderId="12" xfId="33" applyNumberFormat="1" applyFont="1" applyFill="1" applyBorder="1" applyProtection="1">
      <alignment/>
      <protection hidden="1"/>
    </xf>
    <xf numFmtId="1" fontId="0" fillId="0" borderId="24" xfId="33" applyNumberFormat="1" applyFont="1" applyFill="1" applyBorder="1" applyProtection="1">
      <alignment/>
      <protection hidden="1"/>
    </xf>
    <xf numFmtId="0" fontId="0" fillId="0" borderId="23" xfId="33" applyFont="1" applyFill="1" applyBorder="1" applyAlignment="1" applyProtection="1">
      <alignment horizontal="center" vertical="center" wrapText="1"/>
      <protection hidden="1"/>
    </xf>
    <xf numFmtId="1" fontId="0" fillId="0" borderId="12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0" fontId="3" fillId="36" borderId="42" xfId="0" applyFont="1" applyFill="1" applyBorder="1" applyAlignment="1">
      <alignment horizontal="center" vertical="top"/>
    </xf>
    <xf numFmtId="0" fontId="3" fillId="36" borderId="43" xfId="0" applyFont="1" applyFill="1" applyBorder="1" applyAlignment="1">
      <alignment horizontal="center" vertical="top"/>
    </xf>
    <xf numFmtId="0" fontId="3" fillId="36" borderId="44" xfId="0" applyFont="1" applyFill="1" applyBorder="1" applyAlignment="1">
      <alignment horizontal="center" vertical="top"/>
    </xf>
    <xf numFmtId="0" fontId="3" fillId="36" borderId="45" xfId="0" applyFont="1" applyFill="1" applyBorder="1" applyAlignment="1">
      <alignment horizontal="center" vertical="top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30" fillId="0" borderId="0" xfId="0" applyNumberFormat="1" applyFont="1" applyFill="1" applyBorder="1" applyAlignment="1" applyProtection="1">
      <alignment horizontal="right" vertical="center"/>
      <protection hidden="1"/>
    </xf>
    <xf numFmtId="0" fontId="31" fillId="0" borderId="0" xfId="0" applyNumberFormat="1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/>
      <protection hidden="1"/>
    </xf>
    <xf numFmtId="0" fontId="33" fillId="0" borderId="0" xfId="0" applyNumberFormat="1" applyFont="1" applyFill="1" applyBorder="1" applyAlignment="1" applyProtection="1">
      <alignment horizontal="right" vertical="center" indent="1"/>
      <protection hidden="1"/>
    </xf>
    <xf numFmtId="0" fontId="34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 indent="1"/>
      <protection hidden="1"/>
    </xf>
    <xf numFmtId="0" fontId="62" fillId="0" borderId="0" xfId="0" applyNumberFormat="1" applyFont="1" applyFill="1" applyBorder="1" applyAlignment="1" applyProtection="1">
      <alignment horizontal="right" vertical="center"/>
      <protection hidden="1"/>
    </xf>
    <xf numFmtId="0" fontId="63" fillId="0" borderId="0" xfId="0" applyNumberFormat="1" applyFont="1" applyFill="1" applyBorder="1" applyAlignment="1" applyProtection="1">
      <alignment horizontal="right" vertical="center"/>
      <protection hidden="1"/>
    </xf>
    <xf numFmtId="0" fontId="64" fillId="0" borderId="0" xfId="0" applyNumberFormat="1" applyFont="1" applyFill="1" applyBorder="1" applyAlignment="1" applyProtection="1">
      <alignment horizontal="right" vertical="center" indent="1"/>
      <protection hidden="1"/>
    </xf>
    <xf numFmtId="0" fontId="65" fillId="0" borderId="0" xfId="0" applyNumberFormat="1" applyFont="1" applyFill="1" applyBorder="1" applyAlignment="1" applyProtection="1">
      <alignment horizontal="right" vertical="center" indent="1"/>
      <protection hidden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65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66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31" fillId="0" borderId="52" xfId="0" applyNumberFormat="1" applyFont="1" applyFill="1" applyBorder="1" applyAlignment="1" applyProtection="1">
      <alignment vertical="center"/>
      <protection hidden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color auto="1"/>
      </font>
      <fill>
        <patternFill>
          <bgColor theme="5"/>
        </patternFill>
      </fill>
    </dxf>
    <dxf>
      <font>
        <color rgb="FF00B050"/>
      </font>
    </dxf>
    <dxf>
      <font>
        <color rgb="FF00B050"/>
      </font>
      <fill>
        <patternFill patternType="none">
          <bgColor indexed="65"/>
        </patternFill>
      </fill>
    </dxf>
    <dxf>
      <fill>
        <patternFill>
          <bgColor theme="0" tint="-0.24993999302387238"/>
        </patternFill>
      </fill>
    </dxf>
    <dxf>
      <font>
        <color rgb="FF00B050"/>
      </font>
    </dxf>
    <dxf>
      <fill>
        <patternFill>
          <bgColor theme="0" tint="-0.24993999302387238"/>
        </patternFill>
      </fill>
    </dxf>
    <dxf>
      <font>
        <color rgb="FF00B05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rgb="FFFF0000"/>
      </font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4525"/>
          <c:w val="0.66675"/>
          <c:h val="0.8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Расчеты!$P$17</c:f>
              <c:strCache>
                <c:ptCount val="1"/>
                <c:pt idx="0">
                  <c:v>Зеленый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Расчеты!$P$18:$P$27</c:f>
              <c:numCache>
                <c:ptCount val="10"/>
                <c:pt idx="0">
                  <c:v>1407</c:v>
                </c:pt>
                <c:pt idx="1">
                  <c:v>1403</c:v>
                </c:pt>
                <c:pt idx="2">
                  <c:v>1368</c:v>
                </c:pt>
                <c:pt idx="3">
                  <c:v>1355</c:v>
                </c:pt>
                <c:pt idx="4">
                  <c:v>1350</c:v>
                </c:pt>
                <c:pt idx="5">
                  <c:v>1345</c:v>
                </c:pt>
                <c:pt idx="6">
                  <c:v>1339</c:v>
                </c:pt>
                <c:pt idx="7">
                  <c:v>1338</c:v>
                </c:pt>
                <c:pt idx="8">
                  <c:v>1338</c:v>
                </c:pt>
                <c:pt idx="9">
                  <c:v>1337</c:v>
                </c:pt>
              </c:numCache>
            </c:numRef>
          </c:val>
        </c:ser>
        <c:ser>
          <c:idx val="1"/>
          <c:order val="1"/>
          <c:tx>
            <c:strRef>
              <c:f>Расчеты!$Q$17</c:f>
              <c:strCache>
                <c:ptCount val="1"/>
                <c:pt idx="0">
                  <c:v>Красный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Расчеты!$Q$18:$Q$27</c:f>
              <c:numCach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Расчеты!$S$17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Расчеты!$S$18:$S$27</c:f>
              <c:numCache>
                <c:ptCount val="10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3">
                  <c:v>107</c:v>
                </c:pt>
                <c:pt idx="4">
                  <c:v>107</c:v>
                </c:pt>
                <c:pt idx="5">
                  <c:v>107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</c:numCache>
            </c:numRef>
          </c:cat>
          <c:val>
            <c:numRef>
              <c:f>Расчеты!$S$18:$S$27</c:f>
              <c:numCache>
                <c:ptCount val="10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3">
                  <c:v>107</c:v>
                </c:pt>
                <c:pt idx="4">
                  <c:v>107</c:v>
                </c:pt>
                <c:pt idx="5">
                  <c:v>107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</c:numCache>
            </c:numRef>
          </c:val>
        </c:ser>
        <c:ser>
          <c:idx val="4"/>
          <c:order val="4"/>
          <c:tx>
            <c:strRef>
              <c:f>Расчеты!$T$17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Расчеты!$T$18:$T$27</c:f>
              <c:numCache>
                <c:ptCount val="10"/>
                <c:pt idx="0">
                  <c:v>1407</c:v>
                </c:pt>
                <c:pt idx="1">
                  <c:v>1407</c:v>
                </c:pt>
                <c:pt idx="2">
                  <c:v>1407</c:v>
                </c:pt>
                <c:pt idx="3">
                  <c:v>1407</c:v>
                </c:pt>
                <c:pt idx="4">
                  <c:v>1407</c:v>
                </c:pt>
                <c:pt idx="5">
                  <c:v>1407</c:v>
                </c:pt>
                <c:pt idx="6">
                  <c:v>1407</c:v>
                </c:pt>
                <c:pt idx="7">
                  <c:v>1407</c:v>
                </c:pt>
                <c:pt idx="8">
                  <c:v>1407</c:v>
                </c:pt>
                <c:pt idx="9">
                  <c:v>1407</c:v>
                </c:pt>
              </c:numCache>
            </c:numRef>
          </c:cat>
          <c:val>
            <c:numRef>
              <c:f>Расчеты!$T$18:$T$27</c:f>
              <c:numCache>
                <c:ptCount val="10"/>
                <c:pt idx="0">
                  <c:v>1407</c:v>
                </c:pt>
                <c:pt idx="1">
                  <c:v>1407</c:v>
                </c:pt>
                <c:pt idx="2">
                  <c:v>1407</c:v>
                </c:pt>
                <c:pt idx="3">
                  <c:v>1407</c:v>
                </c:pt>
                <c:pt idx="4">
                  <c:v>1407</c:v>
                </c:pt>
                <c:pt idx="5">
                  <c:v>1407</c:v>
                </c:pt>
                <c:pt idx="6">
                  <c:v>1407</c:v>
                </c:pt>
                <c:pt idx="7">
                  <c:v>1407</c:v>
                </c:pt>
                <c:pt idx="8">
                  <c:v>1407</c:v>
                </c:pt>
                <c:pt idx="9">
                  <c:v>1407</c:v>
                </c:pt>
              </c:numCache>
            </c:numRef>
          </c:val>
        </c:ser>
        <c:overlap val="100"/>
        <c:gapWidth val="30"/>
        <c:axId val="11623046"/>
        <c:axId val="37498551"/>
      </c:barChart>
      <c:scatterChart>
        <c:scatterStyle val="lineMarker"/>
        <c:varyColors val="0"/>
        <c:ser>
          <c:idx val="2"/>
          <c:order val="2"/>
          <c:tx>
            <c:strRef>
              <c:f>Расчеты!$R$17</c:f>
              <c:strCache>
                <c:ptCount val="1"/>
                <c:pt idx="0">
                  <c:v>Среднее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Расчеты!$R$18:$R$27</c:f>
              <c:numCache>
                <c:ptCount val="10"/>
                <c:pt idx="0">
                  <c:v>725.06</c:v>
                </c:pt>
                <c:pt idx="1">
                  <c:v>725.06</c:v>
                </c:pt>
                <c:pt idx="2">
                  <c:v>725.06</c:v>
                </c:pt>
                <c:pt idx="3">
                  <c:v>725.06</c:v>
                </c:pt>
                <c:pt idx="4">
                  <c:v>725.06</c:v>
                </c:pt>
                <c:pt idx="5">
                  <c:v>725.06</c:v>
                </c:pt>
                <c:pt idx="6">
                  <c:v>725.06</c:v>
                </c:pt>
                <c:pt idx="7">
                  <c:v>725.06</c:v>
                </c:pt>
                <c:pt idx="8">
                  <c:v>725.06</c:v>
                </c:pt>
                <c:pt idx="9">
                  <c:v>725.06</c:v>
                </c:pt>
              </c:numCache>
            </c:numRef>
          </c:xVal>
          <c:yVal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</c:ser>
        <c:axId val="1942640"/>
        <c:axId val="17483761"/>
      </c:scatterChart>
      <c:catAx>
        <c:axId val="11623046"/>
        <c:scaling>
          <c:orientation val="maxMin"/>
        </c:scaling>
        <c:axPos val="l"/>
        <c:delete val="1"/>
        <c:majorTickMark val="out"/>
        <c:minorTickMark val="none"/>
        <c:tickLblPos val="nextTo"/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</c:scaling>
        <c:axPos val="t"/>
        <c:delete val="1"/>
        <c:majorTickMark val="out"/>
        <c:minorTickMark val="none"/>
        <c:tickLblPos val="nextTo"/>
        <c:crossAx val="11623046"/>
        <c:crossesAt val="1"/>
        <c:crossBetween val="between"/>
        <c:dispUnits/>
        <c:majorUnit val="100"/>
      </c:valAx>
      <c:valAx>
        <c:axId val="1942640"/>
        <c:scaling>
          <c:orientation val="minMax"/>
        </c:scaling>
        <c:axPos val="b"/>
        <c:delete val="1"/>
        <c:majorTickMark val="out"/>
        <c:minorTickMark val="none"/>
        <c:tickLblPos val="nextTo"/>
        <c:crossAx val="17483761"/>
        <c:crosses val="max"/>
        <c:crossBetween val="midCat"/>
        <c:dispUnits/>
      </c:valAx>
      <c:valAx>
        <c:axId val="17483761"/>
        <c:scaling>
          <c:orientation val="minMax"/>
          <c:max val="10"/>
          <c:min val="1"/>
        </c:scaling>
        <c:axPos val="l"/>
        <c:delete val="1"/>
        <c:majorTickMark val="out"/>
        <c:minorTickMark val="none"/>
        <c:tickLblPos val="nextTo"/>
        <c:crossAx val="19426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2335"/>
          <c:w val="0.97675"/>
          <c:h val="0.5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Расчеты!$BE$17</c:f>
              <c:strCache>
                <c:ptCount val="1"/>
                <c:pt idx="0">
                  <c:v>Нивидимое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Расчеты!$AX$21</c:f>
              <c:strCache>
                <c:ptCount val="1"/>
                <c:pt idx="0">
                  <c:v>KPI 4</c:v>
                </c:pt>
              </c:strCache>
            </c:strRef>
          </c:cat>
          <c:val>
            <c:numRef>
              <c:f>Расчеты!$BE$21</c:f>
              <c:numCache>
                <c:ptCount val="1"/>
                <c:pt idx="0">
                  <c:v>256</c:v>
                </c:pt>
              </c:numCache>
            </c:numRef>
          </c:val>
        </c:ser>
        <c:ser>
          <c:idx val="1"/>
          <c:order val="1"/>
          <c:tx>
            <c:strRef>
              <c:f>Расчеты!$BF$17</c:f>
              <c:strCache>
                <c:ptCount val="1"/>
                <c:pt idx="0">
                  <c:v>Total Min - 10Min</c:v>
                </c:pt>
              </c:strCache>
            </c:strRef>
          </c:tx>
          <c:spPr>
            <a:solidFill>
              <a:srgbClr val="F2F2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Расчеты!$AX$21</c:f>
              <c:strCache>
                <c:ptCount val="1"/>
                <c:pt idx="0">
                  <c:v>KPI 4</c:v>
                </c:pt>
              </c:strCache>
            </c:strRef>
          </c:cat>
          <c:val>
            <c:numRef>
              <c:f>Расчеты!$BF$21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Расчеты!$BG$17</c:f>
              <c:strCache>
                <c:ptCount val="1"/>
                <c:pt idx="0">
                  <c:v>10Min - 10Max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Расчеты!$AX$21</c:f>
              <c:strCache>
                <c:ptCount val="1"/>
                <c:pt idx="0">
                  <c:v>KPI 4</c:v>
                </c:pt>
              </c:strCache>
            </c:strRef>
          </c:cat>
          <c:val>
            <c:numRef>
              <c:f>Расчеты!$BG$21</c:f>
              <c:numCache>
                <c:ptCount val="1"/>
                <c:pt idx="0">
                  <c:v>439</c:v>
                </c:pt>
              </c:numCache>
            </c:numRef>
          </c:val>
        </c:ser>
        <c:ser>
          <c:idx val="3"/>
          <c:order val="3"/>
          <c:tx>
            <c:strRef>
              <c:f>Расчеты!$BH$17</c:f>
              <c:strCache>
                <c:ptCount val="1"/>
                <c:pt idx="0">
                  <c:v>10 Max - Total Max</c:v>
                </c:pt>
              </c:strCache>
            </c:strRef>
          </c:tx>
          <c:spPr>
            <a:solidFill>
              <a:srgbClr val="F2F2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Расчеты!$AX$21</c:f>
              <c:strCache>
                <c:ptCount val="1"/>
                <c:pt idx="0">
                  <c:v>KPI 4</c:v>
                </c:pt>
              </c:strCache>
            </c:strRef>
          </c:cat>
          <c:val>
            <c:numRef>
              <c:f>Расчеты!$BH$21</c:f>
              <c:numCache>
                <c:ptCount val="1"/>
                <c:pt idx="0">
                  <c:v>26</c:v>
                </c:pt>
              </c:numCache>
            </c:numRef>
          </c:val>
        </c:ser>
        <c:overlap val="100"/>
        <c:gapWidth val="10"/>
        <c:axId val="13904912"/>
        <c:axId val="58035345"/>
      </c:barChart>
      <c:scatterChart>
        <c:scatterStyle val="lineMarker"/>
        <c:varyColors val="0"/>
        <c:ser>
          <c:idx val="4"/>
          <c:order val="4"/>
          <c:tx>
            <c:strRef>
              <c:f>Расчеты!$BC$17</c:f>
              <c:strCache>
                <c:ptCount val="1"/>
                <c:pt idx="0">
                  <c:v>Среднее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Расчеты!$BC$21</c:f>
              <c:numCache>
                <c:ptCount val="1"/>
                <c:pt idx="0">
                  <c:v>505.62</c:v>
                </c:pt>
              </c:numCache>
            </c:numRef>
          </c:xVal>
          <c:yVal>
            <c:numRef>
              <c:f>Расчеты!$BC$24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Расчеты!$BD$17</c:f>
              <c:strCache>
                <c:ptCount val="1"/>
                <c:pt idx="0">
                  <c:v>Целевое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errBars>
            <c:errDir val="y"/>
            <c:errBarType val="both"/>
            <c:errValType val="fixedVal"/>
            <c:val val="0.9"/>
            <c:noEndCap val="1"/>
            <c:spPr>
              <a:ln w="25400">
                <a:solidFill>
                  <a:srgbClr val="666699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666699"/>
                </a:solidFill>
              </a:ln>
            </c:spPr>
          </c:errBars>
          <c:xVal>
            <c:numRef>
              <c:f>Расчеты!$BD$21</c:f>
              <c:numCache>
                <c:ptCount val="1"/>
                <c:pt idx="0">
                  <c:v>700</c:v>
                </c:pt>
              </c:numCache>
            </c:numRef>
          </c:xVal>
          <c:yVal>
            <c:numRef>
              <c:f>Расчеты!$BD$24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556058"/>
        <c:axId val="3242475"/>
      </c:scatterChart>
      <c:catAx>
        <c:axId val="139049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035345"/>
        <c:crosses val="autoZero"/>
        <c:auto val="1"/>
        <c:lblOffset val="100"/>
        <c:tickLblSkip val="1"/>
        <c:noMultiLvlLbl val="0"/>
      </c:catAx>
      <c:val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04912"/>
        <c:crossesAt val="1"/>
        <c:crossBetween val="between"/>
        <c:dispUnits/>
      </c:valAx>
      <c:val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475"/>
        <c:crosses val="autoZero"/>
        <c:crossBetween val="midCat"/>
        <c:dispUnits/>
      </c:valAx>
      <c:valAx>
        <c:axId val="3242475"/>
        <c:scaling>
          <c:orientation val="minMax"/>
        </c:scaling>
        <c:axPos val="l"/>
        <c:delete val="1"/>
        <c:majorTickMark val="out"/>
        <c:minorTickMark val="none"/>
        <c:tickLblPos val="nextTo"/>
        <c:crossAx val="525560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2335"/>
          <c:w val="0.9745"/>
          <c:h val="0.5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Расчеты!$BE$17</c:f>
              <c:strCache>
                <c:ptCount val="1"/>
                <c:pt idx="0">
                  <c:v>Нивидимое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Расчеты!$AX$22</c:f>
              <c:strCache>
                <c:ptCount val="1"/>
                <c:pt idx="0">
                  <c:v>KPI 5</c:v>
                </c:pt>
              </c:strCache>
            </c:strRef>
          </c:cat>
          <c:val>
            <c:numRef>
              <c:f>Расчеты!$BE$22</c:f>
              <c:numCache>
                <c:ptCount val="1"/>
                <c:pt idx="0">
                  <c:v>0.33</c:v>
                </c:pt>
              </c:numCache>
            </c:numRef>
          </c:val>
        </c:ser>
        <c:ser>
          <c:idx val="1"/>
          <c:order val="1"/>
          <c:tx>
            <c:strRef>
              <c:f>Расчеты!$BF$17</c:f>
              <c:strCache>
                <c:ptCount val="1"/>
                <c:pt idx="0">
                  <c:v>Total Min - 10Min</c:v>
                </c:pt>
              </c:strCache>
            </c:strRef>
          </c:tx>
          <c:spPr>
            <a:solidFill>
              <a:srgbClr val="F2F2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Расчеты!$AX$22</c:f>
              <c:strCache>
                <c:ptCount val="1"/>
                <c:pt idx="0">
                  <c:v>KPI 5</c:v>
                </c:pt>
              </c:strCache>
            </c:strRef>
          </c:cat>
          <c:val>
            <c:numRef>
              <c:f>Расчеты!$BF$22</c:f>
              <c:numCache>
                <c:ptCount val="1"/>
                <c:pt idx="0">
                  <c:v>178.63</c:v>
                </c:pt>
              </c:numCache>
            </c:numRef>
          </c:val>
        </c:ser>
        <c:ser>
          <c:idx val="2"/>
          <c:order val="2"/>
          <c:tx>
            <c:strRef>
              <c:f>Расчеты!$BG$17</c:f>
              <c:strCache>
                <c:ptCount val="1"/>
                <c:pt idx="0">
                  <c:v>10Min - 10Max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Расчеты!$AX$22</c:f>
              <c:strCache>
                <c:ptCount val="1"/>
                <c:pt idx="0">
                  <c:v>KPI 5</c:v>
                </c:pt>
              </c:strCache>
            </c:strRef>
          </c:cat>
          <c:val>
            <c:numRef>
              <c:f>Расчеты!$BG$22</c:f>
              <c:numCache>
                <c:ptCount val="1"/>
                <c:pt idx="0">
                  <c:v>697.3499999999999</c:v>
                </c:pt>
              </c:numCache>
            </c:numRef>
          </c:val>
        </c:ser>
        <c:ser>
          <c:idx val="3"/>
          <c:order val="3"/>
          <c:tx>
            <c:strRef>
              <c:f>Расчеты!$BH$17</c:f>
              <c:strCache>
                <c:ptCount val="1"/>
                <c:pt idx="0">
                  <c:v>10 Max - Total Max</c:v>
                </c:pt>
              </c:strCache>
            </c:strRef>
          </c:tx>
          <c:spPr>
            <a:solidFill>
              <a:srgbClr val="F2F2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Расчеты!$AX$22</c:f>
              <c:strCache>
                <c:ptCount val="1"/>
                <c:pt idx="0">
                  <c:v>KPI 5</c:v>
                </c:pt>
              </c:strCache>
            </c:strRef>
          </c:cat>
          <c:val>
            <c:numRef>
              <c:f>Расчеты!$BH$22</c:f>
              <c:numCache>
                <c:ptCount val="1"/>
                <c:pt idx="0">
                  <c:v>123.18000000000006</c:v>
                </c:pt>
              </c:numCache>
            </c:numRef>
          </c:val>
        </c:ser>
        <c:overlap val="100"/>
        <c:gapWidth val="10"/>
        <c:axId val="29182276"/>
        <c:axId val="61313893"/>
      </c:barChart>
      <c:scatterChart>
        <c:scatterStyle val="lineMarker"/>
        <c:varyColors val="0"/>
        <c:ser>
          <c:idx val="4"/>
          <c:order val="4"/>
          <c:tx>
            <c:strRef>
              <c:f>Расчеты!$BC$17</c:f>
              <c:strCache>
                <c:ptCount val="1"/>
                <c:pt idx="0">
                  <c:v>Среднее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Расчеты!$BC$22</c:f>
              <c:numCache>
                <c:ptCount val="1"/>
                <c:pt idx="0">
                  <c:v>490.4863000000002</c:v>
                </c:pt>
              </c:numCache>
            </c:numRef>
          </c:xVal>
          <c:yVal>
            <c:numRef>
              <c:f>Расчеты!$BC$24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Расчеты!$BD$17</c:f>
              <c:strCache>
                <c:ptCount val="1"/>
                <c:pt idx="0">
                  <c:v>Целевое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errBars>
            <c:errDir val="y"/>
            <c:errBarType val="both"/>
            <c:errValType val="fixedVal"/>
            <c:val val="0.9"/>
            <c:noEndCap val="1"/>
            <c:spPr>
              <a:ln w="25400">
                <a:solidFill>
                  <a:srgbClr val="666699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666699"/>
                </a:solidFill>
              </a:ln>
            </c:spPr>
          </c:errBars>
          <c:xVal>
            <c:numRef>
              <c:f>Расчеты!$BD$22</c:f>
              <c:numCache>
                <c:ptCount val="1"/>
                <c:pt idx="0">
                  <c:v>400</c:v>
                </c:pt>
              </c:numCache>
            </c:numRef>
          </c:xVal>
          <c:yVal>
            <c:numRef>
              <c:f>Расчеты!$BD$24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954126"/>
        <c:axId val="369407"/>
      </c:scatterChart>
      <c:catAx>
        <c:axId val="291822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313893"/>
        <c:crosses val="autoZero"/>
        <c:auto val="1"/>
        <c:lblOffset val="100"/>
        <c:tickLblSkip val="1"/>
        <c:noMultiLvlLbl val="0"/>
      </c:catAx>
      <c:val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182276"/>
        <c:crossesAt val="1"/>
        <c:crossBetween val="between"/>
        <c:dispUnits/>
      </c:valAx>
      <c:val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07"/>
        <c:crosses val="autoZero"/>
        <c:crossBetween val="midCat"/>
        <c:dispUnits/>
      </c:valAx>
      <c:valAx>
        <c:axId val="369407"/>
        <c:scaling>
          <c:orientation val="minMax"/>
        </c:scaling>
        <c:axPos val="l"/>
        <c:delete val="1"/>
        <c:majorTickMark val="out"/>
        <c:minorTickMark val="none"/>
        <c:tickLblPos val="nextTo"/>
        <c:crossAx val="149541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4525"/>
          <c:w val="0.6815"/>
          <c:h val="0.8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Расчеты!$U$17</c:f>
              <c:strCache>
                <c:ptCount val="1"/>
                <c:pt idx="0">
                  <c:v>Зеленый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Расчеты!$U$18:$U$27</c:f>
              <c:numCache>
                <c:ptCount val="10"/>
                <c:pt idx="0">
                  <c:v>302</c:v>
                </c:pt>
                <c:pt idx="1">
                  <c:v>347</c:v>
                </c:pt>
                <c:pt idx="2">
                  <c:v>#N/A</c:v>
                </c:pt>
                <c:pt idx="3">
                  <c:v>423</c:v>
                </c:pt>
                <c:pt idx="4">
                  <c:v>398</c:v>
                </c:pt>
                <c:pt idx="5">
                  <c:v>#N/A</c:v>
                </c:pt>
                <c:pt idx="6">
                  <c:v>379</c:v>
                </c:pt>
                <c:pt idx="7">
                  <c:v>#N/A</c:v>
                </c:pt>
                <c:pt idx="8">
                  <c:v>261</c:v>
                </c:pt>
                <c:pt idx="9">
                  <c:v>473</c:v>
                </c:pt>
              </c:numCache>
            </c:numRef>
          </c:val>
        </c:ser>
        <c:ser>
          <c:idx val="1"/>
          <c:order val="1"/>
          <c:tx>
            <c:strRef>
              <c:f>Расчеты!$V$17</c:f>
              <c:strCache>
                <c:ptCount val="1"/>
                <c:pt idx="0">
                  <c:v>Красный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Расчеты!$V$18:$V$27</c:f>
              <c:numCache>
                <c:ptCount val="10"/>
                <c:pt idx="0">
                  <c:v>#N/A</c:v>
                </c:pt>
                <c:pt idx="1">
                  <c:v>#N/A</c:v>
                </c:pt>
                <c:pt idx="2">
                  <c:v>188</c:v>
                </c:pt>
                <c:pt idx="3">
                  <c:v>#N/A</c:v>
                </c:pt>
                <c:pt idx="4">
                  <c:v>#N/A</c:v>
                </c:pt>
                <c:pt idx="5">
                  <c:v>130</c:v>
                </c:pt>
                <c:pt idx="6">
                  <c:v>#N/A</c:v>
                </c:pt>
                <c:pt idx="7">
                  <c:v>183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Расчеты!$X$17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Расчеты!$X$18:$X$27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ser>
          <c:idx val="4"/>
          <c:order val="4"/>
          <c:tx>
            <c:strRef>
              <c:f>Расчеты!$Y$17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Расчеты!$Y$18:$Y$27</c:f>
              <c:numCache>
                <c:ptCount val="10"/>
                <c:pt idx="0">
                  <c:v>489</c:v>
                </c:pt>
                <c:pt idx="1">
                  <c:v>489</c:v>
                </c:pt>
                <c:pt idx="2">
                  <c:v>489</c:v>
                </c:pt>
                <c:pt idx="3">
                  <c:v>489</c:v>
                </c:pt>
                <c:pt idx="4">
                  <c:v>489</c:v>
                </c:pt>
                <c:pt idx="5">
                  <c:v>489</c:v>
                </c:pt>
                <c:pt idx="6">
                  <c:v>489</c:v>
                </c:pt>
                <c:pt idx="7">
                  <c:v>489</c:v>
                </c:pt>
                <c:pt idx="8">
                  <c:v>489</c:v>
                </c:pt>
                <c:pt idx="9">
                  <c:v>489</c:v>
                </c:pt>
              </c:numCache>
            </c:numRef>
          </c:val>
        </c:ser>
        <c:overlap val="100"/>
        <c:gapWidth val="30"/>
        <c:axId val="23136122"/>
        <c:axId val="6898507"/>
      </c:barChart>
      <c:scatterChart>
        <c:scatterStyle val="lineMarker"/>
        <c:varyColors val="0"/>
        <c:ser>
          <c:idx val="2"/>
          <c:order val="2"/>
          <c:tx>
            <c:strRef>
              <c:f>Расчеты!$W$17</c:f>
              <c:strCache>
                <c:ptCount val="1"/>
                <c:pt idx="0">
                  <c:v>Среднее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Расчеты!$W$18:$W$27</c:f>
              <c:numCache>
                <c:ptCount val="10"/>
                <c:pt idx="0">
                  <c:v>242.65</c:v>
                </c:pt>
                <c:pt idx="1">
                  <c:v>242.65</c:v>
                </c:pt>
                <c:pt idx="2">
                  <c:v>242.65</c:v>
                </c:pt>
                <c:pt idx="3">
                  <c:v>242.65</c:v>
                </c:pt>
                <c:pt idx="4">
                  <c:v>242.65</c:v>
                </c:pt>
                <c:pt idx="5">
                  <c:v>242.65</c:v>
                </c:pt>
                <c:pt idx="6">
                  <c:v>242.65</c:v>
                </c:pt>
                <c:pt idx="7">
                  <c:v>242.65</c:v>
                </c:pt>
                <c:pt idx="8">
                  <c:v>242.65</c:v>
                </c:pt>
                <c:pt idx="9">
                  <c:v>242.65</c:v>
                </c:pt>
              </c:numCache>
            </c:numRef>
          </c:xVal>
          <c:yVal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</c:ser>
        <c:axId val="62086564"/>
        <c:axId val="21908165"/>
      </c:scatterChart>
      <c:catAx>
        <c:axId val="23136122"/>
        <c:scaling>
          <c:orientation val="maxMin"/>
        </c:scaling>
        <c:axPos val="l"/>
        <c:delete val="1"/>
        <c:majorTickMark val="out"/>
        <c:minorTickMark val="none"/>
        <c:tickLblPos val="nextTo"/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</c:scaling>
        <c:axPos val="t"/>
        <c:delete val="1"/>
        <c:majorTickMark val="out"/>
        <c:minorTickMark val="none"/>
        <c:tickLblPos val="nextTo"/>
        <c:crossAx val="23136122"/>
        <c:crossesAt val="1"/>
        <c:crossBetween val="between"/>
        <c:dispUnits/>
        <c:majorUnit val="100"/>
      </c:valAx>
      <c:valAx>
        <c:axId val="62086564"/>
        <c:scaling>
          <c:orientation val="minMax"/>
        </c:scaling>
        <c:axPos val="b"/>
        <c:delete val="1"/>
        <c:majorTickMark val="out"/>
        <c:minorTickMark val="none"/>
        <c:tickLblPos val="nextTo"/>
        <c:crossAx val="21908165"/>
        <c:crosses val="max"/>
        <c:crossBetween val="midCat"/>
        <c:dispUnits/>
      </c:valAx>
      <c:valAx>
        <c:axId val="21908165"/>
        <c:scaling>
          <c:orientation val="minMax"/>
          <c:max val="10"/>
          <c:min val="1"/>
        </c:scaling>
        <c:axPos val="l"/>
        <c:delete val="1"/>
        <c:majorTickMark val="out"/>
        <c:minorTickMark val="none"/>
        <c:tickLblPos val="nextTo"/>
        <c:crossAx val="620865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4525"/>
          <c:w val="0.66675"/>
          <c:h val="0.8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Расчеты!$Z$17</c:f>
              <c:strCache>
                <c:ptCount val="1"/>
                <c:pt idx="0">
                  <c:v>Зеленый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Расчеты!$Z$18:$Z$27</c:f>
              <c:numCache>
                <c:ptCount val="10"/>
                <c:pt idx="0">
                  <c:v>#N/A</c:v>
                </c:pt>
                <c:pt idx="1">
                  <c:v>0.61</c:v>
                </c:pt>
                <c:pt idx="2">
                  <c:v>#N/A</c:v>
                </c:pt>
                <c:pt idx="3">
                  <c:v>0.63</c:v>
                </c:pt>
                <c:pt idx="4">
                  <c:v>0.68</c:v>
                </c:pt>
                <c:pt idx="5">
                  <c:v>0.58</c:v>
                </c:pt>
                <c:pt idx="6">
                  <c:v>0.98</c:v>
                </c:pt>
                <c:pt idx="7">
                  <c:v>#N/A</c:v>
                </c:pt>
                <c:pt idx="8">
                  <c:v>0.86</c:v>
                </c:pt>
                <c:pt idx="9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Расчеты!$AA$17</c:f>
              <c:strCache>
                <c:ptCount val="1"/>
                <c:pt idx="0">
                  <c:v>Красный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Расчеты!$AA$18:$AA$27</c:f>
              <c:numCache>
                <c:ptCount val="10"/>
                <c:pt idx="0">
                  <c:v>0.02</c:v>
                </c:pt>
                <c:pt idx="1">
                  <c:v>#N/A</c:v>
                </c:pt>
                <c:pt idx="2">
                  <c:v>0.28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0.28</c:v>
                </c:pt>
                <c:pt idx="8">
                  <c:v>#N/A</c:v>
                </c:pt>
                <c:pt idx="9">
                  <c:v>0.24</c:v>
                </c:pt>
              </c:numCache>
            </c:numRef>
          </c:val>
        </c:ser>
        <c:ser>
          <c:idx val="3"/>
          <c:order val="3"/>
          <c:tx>
            <c:strRef>
              <c:f>Расчеты!$AC$17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Расчеты!$AC$18:$AC$27</c:f>
              <c:numCache>
                <c:ptCount val="10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</c:numCache>
            </c:numRef>
          </c:val>
        </c:ser>
        <c:ser>
          <c:idx val="4"/>
          <c:order val="4"/>
          <c:tx>
            <c:strRef>
              <c:f>Расчеты!$AD$17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Расчеты!$AD$18:$AD$27</c:f>
              <c:numCache>
                <c:ptCount val="10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</c:numCache>
            </c:numRef>
          </c:val>
        </c:ser>
        <c:overlap val="100"/>
        <c:gapWidth val="30"/>
        <c:axId val="62955758"/>
        <c:axId val="29730911"/>
      </c:barChart>
      <c:scatterChart>
        <c:scatterStyle val="lineMarker"/>
        <c:varyColors val="0"/>
        <c:ser>
          <c:idx val="2"/>
          <c:order val="2"/>
          <c:tx>
            <c:strRef>
              <c:f>Расчеты!$AB$17</c:f>
              <c:strCache>
                <c:ptCount val="1"/>
                <c:pt idx="0">
                  <c:v>Среднее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Расчеты!$AB$18:$AB$27</c:f>
              <c:numCache>
                <c:ptCount val="10"/>
                <c:pt idx="0">
                  <c:v>0.4815</c:v>
                </c:pt>
                <c:pt idx="1">
                  <c:v>0.4815</c:v>
                </c:pt>
                <c:pt idx="2">
                  <c:v>0.4815</c:v>
                </c:pt>
                <c:pt idx="3">
                  <c:v>0.4815</c:v>
                </c:pt>
                <c:pt idx="4">
                  <c:v>0.4815</c:v>
                </c:pt>
                <c:pt idx="5">
                  <c:v>0.4815</c:v>
                </c:pt>
                <c:pt idx="6">
                  <c:v>0.4815</c:v>
                </c:pt>
                <c:pt idx="7">
                  <c:v>0.4815</c:v>
                </c:pt>
                <c:pt idx="8">
                  <c:v>0.4815</c:v>
                </c:pt>
                <c:pt idx="9">
                  <c:v>0.4815</c:v>
                </c:pt>
              </c:numCache>
            </c:numRef>
          </c:xVal>
          <c:yVal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</c:ser>
        <c:axId val="66251608"/>
        <c:axId val="59393561"/>
      </c:scatterChart>
      <c:catAx>
        <c:axId val="62955758"/>
        <c:scaling>
          <c:orientation val="maxMin"/>
        </c:scaling>
        <c:axPos val="l"/>
        <c:delete val="1"/>
        <c:majorTickMark val="out"/>
        <c:minorTickMark val="none"/>
        <c:tickLblPos val="nextTo"/>
        <c:crossAx val="29730911"/>
        <c:crosses val="autoZero"/>
        <c:auto val="1"/>
        <c:lblOffset val="100"/>
        <c:tickLblSkip val="1"/>
        <c:noMultiLvlLbl val="0"/>
      </c:catAx>
      <c:valAx>
        <c:axId val="29730911"/>
        <c:scaling>
          <c:orientation val="minMax"/>
          <c:max val="1"/>
        </c:scaling>
        <c:axPos val="t"/>
        <c:delete val="1"/>
        <c:majorTickMark val="out"/>
        <c:minorTickMark val="none"/>
        <c:tickLblPos val="nextTo"/>
        <c:crossAx val="62955758"/>
        <c:crossesAt val="1"/>
        <c:crossBetween val="between"/>
        <c:dispUnits/>
      </c:valAx>
      <c:valAx>
        <c:axId val="66251608"/>
        <c:scaling>
          <c:orientation val="minMax"/>
        </c:scaling>
        <c:axPos val="b"/>
        <c:delete val="1"/>
        <c:majorTickMark val="out"/>
        <c:minorTickMark val="none"/>
        <c:tickLblPos val="nextTo"/>
        <c:crossAx val="59393561"/>
        <c:crosses val="max"/>
        <c:crossBetween val="midCat"/>
        <c:dispUnits/>
      </c:valAx>
      <c:valAx>
        <c:axId val="59393561"/>
        <c:scaling>
          <c:orientation val="minMax"/>
          <c:max val="10"/>
          <c:min val="1"/>
        </c:scaling>
        <c:axPos val="l"/>
        <c:delete val="1"/>
        <c:majorTickMark val="out"/>
        <c:minorTickMark val="none"/>
        <c:tickLblPos val="nextTo"/>
        <c:crossAx val="6625160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4525"/>
          <c:w val="0.66675"/>
          <c:h val="0.8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Расчеты!$AE$17</c:f>
              <c:strCache>
                <c:ptCount val="1"/>
                <c:pt idx="0">
                  <c:v>Зеленый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Расчеты!$AE$18:$AE$27</c:f>
              <c:numCach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Расчеты!$AF$17</c:f>
              <c:strCache>
                <c:ptCount val="1"/>
                <c:pt idx="0">
                  <c:v>Красный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Расчеты!$AF$18:$AF$27</c:f>
              <c:numCache>
                <c:ptCount val="10"/>
                <c:pt idx="0">
                  <c:v>634</c:v>
                </c:pt>
                <c:pt idx="1">
                  <c:v>671</c:v>
                </c:pt>
                <c:pt idx="2">
                  <c:v>539</c:v>
                </c:pt>
                <c:pt idx="3">
                  <c:v>#N/A</c:v>
                </c:pt>
                <c:pt idx="4">
                  <c:v>677</c:v>
                </c:pt>
                <c:pt idx="5">
                  <c:v>352</c:v>
                </c:pt>
                <c:pt idx="6">
                  <c:v>494</c:v>
                </c:pt>
                <c:pt idx="7">
                  <c:v>646</c:v>
                </c:pt>
                <c:pt idx="8">
                  <c:v>648</c:v>
                </c:pt>
                <c:pt idx="9">
                  <c:v>266</c:v>
                </c:pt>
              </c:numCache>
            </c:numRef>
          </c:val>
        </c:ser>
        <c:ser>
          <c:idx val="3"/>
          <c:order val="3"/>
          <c:tx>
            <c:strRef>
              <c:f>Расчеты!$AH$17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Расчеты!$AH$18:$AH$27</c:f>
              <c:numCache>
                <c:ptCount val="10"/>
                <c:pt idx="0">
                  <c:v>256</c:v>
                </c:pt>
                <c:pt idx="1">
                  <c:v>256</c:v>
                </c:pt>
                <c:pt idx="2">
                  <c:v>256</c:v>
                </c:pt>
                <c:pt idx="3">
                  <c:v>256</c:v>
                </c:pt>
                <c:pt idx="4">
                  <c:v>256</c:v>
                </c:pt>
                <c:pt idx="5">
                  <c:v>256</c:v>
                </c:pt>
                <c:pt idx="6">
                  <c:v>256</c:v>
                </c:pt>
                <c:pt idx="7">
                  <c:v>256</c:v>
                </c:pt>
                <c:pt idx="8">
                  <c:v>256</c:v>
                </c:pt>
                <c:pt idx="9">
                  <c:v>256</c:v>
                </c:pt>
              </c:numCache>
            </c:numRef>
          </c:val>
        </c:ser>
        <c:ser>
          <c:idx val="4"/>
          <c:order val="4"/>
          <c:tx>
            <c:strRef>
              <c:f>Расчеты!$AI$17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Расчеты!$AI$18:$AI$27</c:f>
              <c:numCache>
                <c:ptCount val="10"/>
                <c:pt idx="0">
                  <c:v>731</c:v>
                </c:pt>
                <c:pt idx="1">
                  <c:v>731</c:v>
                </c:pt>
                <c:pt idx="2">
                  <c:v>731</c:v>
                </c:pt>
                <c:pt idx="3">
                  <c:v>731</c:v>
                </c:pt>
                <c:pt idx="4">
                  <c:v>731</c:v>
                </c:pt>
                <c:pt idx="5">
                  <c:v>731</c:v>
                </c:pt>
                <c:pt idx="6">
                  <c:v>731</c:v>
                </c:pt>
                <c:pt idx="7">
                  <c:v>731</c:v>
                </c:pt>
                <c:pt idx="8">
                  <c:v>731</c:v>
                </c:pt>
                <c:pt idx="9">
                  <c:v>731</c:v>
                </c:pt>
              </c:numCache>
            </c:numRef>
          </c:val>
        </c:ser>
        <c:overlap val="100"/>
        <c:gapWidth val="30"/>
        <c:axId val="64780002"/>
        <c:axId val="46149107"/>
      </c:barChart>
      <c:scatterChart>
        <c:scatterStyle val="lineMarker"/>
        <c:varyColors val="0"/>
        <c:ser>
          <c:idx val="2"/>
          <c:order val="2"/>
          <c:tx>
            <c:strRef>
              <c:f>Расчеты!$AG$17</c:f>
              <c:strCache>
                <c:ptCount val="1"/>
                <c:pt idx="0">
                  <c:v>Среднее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Расчеты!$AG$18:$AG$27</c:f>
              <c:numCache>
                <c:ptCount val="10"/>
                <c:pt idx="0">
                  <c:v>505.62</c:v>
                </c:pt>
                <c:pt idx="1">
                  <c:v>505.62</c:v>
                </c:pt>
                <c:pt idx="2">
                  <c:v>505.62</c:v>
                </c:pt>
                <c:pt idx="3">
                  <c:v>505.62</c:v>
                </c:pt>
                <c:pt idx="4">
                  <c:v>505.62</c:v>
                </c:pt>
                <c:pt idx="5">
                  <c:v>505.62</c:v>
                </c:pt>
                <c:pt idx="6">
                  <c:v>505.62</c:v>
                </c:pt>
                <c:pt idx="7">
                  <c:v>505.62</c:v>
                </c:pt>
                <c:pt idx="8">
                  <c:v>505.62</c:v>
                </c:pt>
                <c:pt idx="9">
                  <c:v>505.62</c:v>
                </c:pt>
              </c:numCache>
            </c:numRef>
          </c:xVal>
          <c:yVal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</c:ser>
        <c:axId val="12688780"/>
        <c:axId val="47090157"/>
      </c:scatterChart>
      <c:catAx>
        <c:axId val="64780002"/>
        <c:scaling>
          <c:orientation val="maxMin"/>
        </c:scaling>
        <c:axPos val="l"/>
        <c:delete val="1"/>
        <c:majorTickMark val="out"/>
        <c:minorTickMark val="none"/>
        <c:tickLblPos val="nextTo"/>
        <c:crossAx val="46149107"/>
        <c:crosses val="autoZero"/>
        <c:auto val="1"/>
        <c:lblOffset val="100"/>
        <c:tickLblSkip val="1"/>
        <c:noMultiLvlLbl val="0"/>
      </c:catAx>
      <c:valAx>
        <c:axId val="46149107"/>
        <c:scaling>
          <c:orientation val="minMax"/>
        </c:scaling>
        <c:axPos val="t"/>
        <c:delete val="1"/>
        <c:majorTickMark val="out"/>
        <c:minorTickMark val="none"/>
        <c:tickLblPos val="nextTo"/>
        <c:crossAx val="64780002"/>
        <c:crossesAt val="1"/>
        <c:crossBetween val="between"/>
        <c:dispUnits/>
        <c:majorUnit val="1.5351"/>
      </c:valAx>
      <c:valAx>
        <c:axId val="12688780"/>
        <c:scaling>
          <c:orientation val="minMax"/>
        </c:scaling>
        <c:axPos val="b"/>
        <c:delete val="1"/>
        <c:majorTickMark val="out"/>
        <c:minorTickMark val="none"/>
        <c:tickLblPos val="nextTo"/>
        <c:crossAx val="47090157"/>
        <c:crosses val="max"/>
        <c:crossBetween val="midCat"/>
        <c:dispUnits/>
      </c:valAx>
      <c:valAx>
        <c:axId val="47090157"/>
        <c:scaling>
          <c:orientation val="minMax"/>
          <c:max val="10"/>
          <c:min val="1"/>
        </c:scaling>
        <c:axPos val="l"/>
        <c:delete val="1"/>
        <c:majorTickMark val="out"/>
        <c:minorTickMark val="none"/>
        <c:tickLblPos val="nextTo"/>
        <c:crossAx val="1268878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4525"/>
          <c:w val="0.66675"/>
          <c:h val="0.8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Расчеты!$AJ$17</c:f>
              <c:strCache>
                <c:ptCount val="1"/>
                <c:pt idx="0">
                  <c:v>Зеленый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Расчеты!$AJ$18:$AJ$27</c:f>
              <c:numCache>
                <c:ptCount val="10"/>
                <c:pt idx="0">
                  <c:v>#N/A</c:v>
                </c:pt>
                <c:pt idx="1">
                  <c:v>#N/A</c:v>
                </c:pt>
                <c:pt idx="2">
                  <c:v>876.31</c:v>
                </c:pt>
                <c:pt idx="3">
                  <c:v>482.87</c:v>
                </c:pt>
                <c:pt idx="4">
                  <c:v>411.09</c:v>
                </c:pt>
                <c:pt idx="5">
                  <c:v>477.47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711.8</c:v>
                </c:pt>
              </c:numCache>
            </c:numRef>
          </c:val>
        </c:ser>
        <c:ser>
          <c:idx val="1"/>
          <c:order val="1"/>
          <c:tx>
            <c:strRef>
              <c:f>Расчеты!$AK$17</c:f>
              <c:strCache>
                <c:ptCount val="1"/>
                <c:pt idx="0">
                  <c:v>Красный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Расчеты!$AK$18:$AK$27</c:f>
              <c:numCache>
                <c:ptCount val="10"/>
                <c:pt idx="0">
                  <c:v>178.96</c:v>
                </c:pt>
                <c:pt idx="1">
                  <c:v>206.15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336.15</c:v>
                </c:pt>
                <c:pt idx="7">
                  <c:v>343.29</c:v>
                </c:pt>
                <c:pt idx="8">
                  <c:v>218.2</c:v>
                </c:pt>
                <c:pt idx="9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Расчеты!$AM$17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Расчеты!$AM$18:$AM$27</c:f>
              <c:numCache>
                <c:ptCount val="10"/>
                <c:pt idx="0">
                  <c:v>0.33</c:v>
                </c:pt>
                <c:pt idx="1">
                  <c:v>0.33</c:v>
                </c:pt>
                <c:pt idx="2">
                  <c:v>0.33</c:v>
                </c:pt>
                <c:pt idx="3">
                  <c:v>0.33</c:v>
                </c:pt>
                <c:pt idx="4">
                  <c:v>0.33</c:v>
                </c:pt>
                <c:pt idx="5">
                  <c:v>0.33</c:v>
                </c:pt>
                <c:pt idx="6">
                  <c:v>0.33</c:v>
                </c:pt>
                <c:pt idx="7">
                  <c:v>0.33</c:v>
                </c:pt>
                <c:pt idx="8">
                  <c:v>0.33</c:v>
                </c:pt>
                <c:pt idx="9">
                  <c:v>0.33</c:v>
                </c:pt>
              </c:numCache>
            </c:numRef>
          </c:val>
        </c:ser>
        <c:ser>
          <c:idx val="4"/>
          <c:order val="4"/>
          <c:tx>
            <c:strRef>
              <c:f>Расчеты!$AN$17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Расчеты!$AN$18:$AN$27</c:f>
              <c:numCache>
                <c:ptCount val="10"/>
                <c:pt idx="0">
                  <c:v>999.49</c:v>
                </c:pt>
                <c:pt idx="1">
                  <c:v>999.49</c:v>
                </c:pt>
                <c:pt idx="2">
                  <c:v>999.49</c:v>
                </c:pt>
                <c:pt idx="3">
                  <c:v>999.49</c:v>
                </c:pt>
                <c:pt idx="4">
                  <c:v>999.49</c:v>
                </c:pt>
                <c:pt idx="5">
                  <c:v>999.49</c:v>
                </c:pt>
                <c:pt idx="6">
                  <c:v>999.49</c:v>
                </c:pt>
                <c:pt idx="7">
                  <c:v>999.49</c:v>
                </c:pt>
                <c:pt idx="8">
                  <c:v>999.49</c:v>
                </c:pt>
                <c:pt idx="9">
                  <c:v>999.49</c:v>
                </c:pt>
              </c:numCache>
            </c:numRef>
          </c:val>
        </c:ser>
        <c:overlap val="100"/>
        <c:gapWidth val="30"/>
        <c:axId val="21158230"/>
        <c:axId val="56206343"/>
      </c:barChart>
      <c:scatterChart>
        <c:scatterStyle val="lineMarker"/>
        <c:varyColors val="0"/>
        <c:ser>
          <c:idx val="2"/>
          <c:order val="2"/>
          <c:tx>
            <c:strRef>
              <c:f>Расчеты!$AL$17</c:f>
              <c:strCache>
                <c:ptCount val="1"/>
                <c:pt idx="0">
                  <c:v>Среднее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Расчеты!$AL$18:$AL$27</c:f>
              <c:numCache>
                <c:ptCount val="10"/>
                <c:pt idx="0">
                  <c:v>490.4863</c:v>
                </c:pt>
                <c:pt idx="1">
                  <c:v>490.4863</c:v>
                </c:pt>
                <c:pt idx="2">
                  <c:v>490.4863</c:v>
                </c:pt>
                <c:pt idx="3">
                  <c:v>490.4863</c:v>
                </c:pt>
                <c:pt idx="4">
                  <c:v>490.4863</c:v>
                </c:pt>
                <c:pt idx="5">
                  <c:v>490.4863</c:v>
                </c:pt>
                <c:pt idx="6">
                  <c:v>490.4863</c:v>
                </c:pt>
                <c:pt idx="7">
                  <c:v>490.4863</c:v>
                </c:pt>
                <c:pt idx="8">
                  <c:v>490.4863</c:v>
                </c:pt>
                <c:pt idx="9">
                  <c:v>490.4863</c:v>
                </c:pt>
              </c:numCache>
            </c:numRef>
          </c:xVal>
          <c:yVal>
            <c:numRef>
              <c:f>Расчеты!$AP$18:$AP$27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</c:ser>
        <c:axId val="36095040"/>
        <c:axId val="56419905"/>
      </c:scatterChart>
      <c:catAx>
        <c:axId val="21158230"/>
        <c:scaling>
          <c:orientation val="maxMin"/>
        </c:scaling>
        <c:axPos val="l"/>
        <c:delete val="1"/>
        <c:majorTickMark val="out"/>
        <c:minorTickMark val="none"/>
        <c:tickLblPos val="nextTo"/>
        <c:crossAx val="56206343"/>
        <c:crosses val="autoZero"/>
        <c:auto val="1"/>
        <c:lblOffset val="100"/>
        <c:tickLblSkip val="1"/>
        <c:noMultiLvlLbl val="0"/>
      </c:catAx>
      <c:valAx>
        <c:axId val="56206343"/>
        <c:scaling>
          <c:orientation val="minMax"/>
        </c:scaling>
        <c:axPos val="t"/>
        <c:delete val="1"/>
        <c:majorTickMark val="out"/>
        <c:minorTickMark val="none"/>
        <c:tickLblPos val="nextTo"/>
        <c:crossAx val="21158230"/>
        <c:crossesAt val="1"/>
        <c:crossBetween val="between"/>
        <c:dispUnits/>
        <c:majorUnit val="100"/>
      </c:valAx>
      <c:valAx>
        <c:axId val="36095040"/>
        <c:scaling>
          <c:orientation val="minMax"/>
        </c:scaling>
        <c:axPos val="b"/>
        <c:delete val="1"/>
        <c:majorTickMark val="out"/>
        <c:minorTickMark val="none"/>
        <c:tickLblPos val="nextTo"/>
        <c:crossAx val="56419905"/>
        <c:crosses val="max"/>
        <c:crossBetween val="midCat"/>
        <c:dispUnits/>
      </c:valAx>
      <c:valAx>
        <c:axId val="56419905"/>
        <c:scaling>
          <c:orientation val="minMax"/>
          <c:max val="10"/>
          <c:min val="1"/>
        </c:scaling>
        <c:axPos val="l"/>
        <c:delete val="1"/>
        <c:majorTickMark val="out"/>
        <c:minorTickMark val="none"/>
        <c:tickLblPos val="nextTo"/>
        <c:crossAx val="360950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333333"/>
                </a:solidFill>
              </a:rPr>
              <a:t>Сравнение двух показателей</a:t>
            </a:r>
          </a:p>
        </c:rich>
      </c:tx>
      <c:layout>
        <c:manualLayout>
          <c:xMode val="factor"/>
          <c:yMode val="factor"/>
          <c:x val="-0.0045"/>
          <c:y val="-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25"/>
          <c:w val="0.9815"/>
          <c:h val="0.82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Расчеты!$AR$16</c:f>
              <c:strCache>
                <c:ptCount val="1"/>
                <c:pt idx="0">
                  <c:v>Все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Расчеты!$AR$18:$AR$117</c:f>
              <c:numCache>
                <c:ptCount val="100"/>
                <c:pt idx="0">
                  <c:v>284</c:v>
                </c:pt>
                <c:pt idx="1">
                  <c:v>170</c:v>
                </c:pt>
                <c:pt idx="2">
                  <c:v>760</c:v>
                </c:pt>
                <c:pt idx="3">
                  <c:v>366</c:v>
                </c:pt>
                <c:pt idx="4">
                  <c:v>1345</c:v>
                </c:pt>
                <c:pt idx="5">
                  <c:v>790</c:v>
                </c:pt>
                <c:pt idx="6">
                  <c:v>1269</c:v>
                </c:pt>
                <c:pt idx="7">
                  <c:v>107</c:v>
                </c:pt>
                <c:pt idx="8">
                  <c:v>501</c:v>
                </c:pt>
                <c:pt idx="9">
                  <c:v>953</c:v>
                </c:pt>
                <c:pt idx="10">
                  <c:v>783</c:v>
                </c:pt>
                <c:pt idx="11">
                  <c:v>669</c:v>
                </c:pt>
                <c:pt idx="12">
                  <c:v>447</c:v>
                </c:pt>
                <c:pt idx="13">
                  <c:v>682</c:v>
                </c:pt>
                <c:pt idx="14">
                  <c:v>807</c:v>
                </c:pt>
                <c:pt idx="15">
                  <c:v>1180</c:v>
                </c:pt>
                <c:pt idx="16">
                  <c:v>725</c:v>
                </c:pt>
                <c:pt idx="17">
                  <c:v>522</c:v>
                </c:pt>
                <c:pt idx="18">
                  <c:v>1350</c:v>
                </c:pt>
                <c:pt idx="19">
                  <c:v>1163</c:v>
                </c:pt>
                <c:pt idx="20">
                  <c:v>830</c:v>
                </c:pt>
                <c:pt idx="21">
                  <c:v>1195</c:v>
                </c:pt>
                <c:pt idx="22">
                  <c:v>482</c:v>
                </c:pt>
                <c:pt idx="23">
                  <c:v>1024</c:v>
                </c:pt>
                <c:pt idx="24">
                  <c:v>1339</c:v>
                </c:pt>
                <c:pt idx="25">
                  <c:v>958</c:v>
                </c:pt>
                <c:pt idx="26">
                  <c:v>1153</c:v>
                </c:pt>
                <c:pt idx="27">
                  <c:v>136</c:v>
                </c:pt>
                <c:pt idx="28">
                  <c:v>923</c:v>
                </c:pt>
                <c:pt idx="29">
                  <c:v>252</c:v>
                </c:pt>
                <c:pt idx="30">
                  <c:v>1270</c:v>
                </c:pt>
                <c:pt idx="31">
                  <c:v>880</c:v>
                </c:pt>
                <c:pt idx="32">
                  <c:v>1330</c:v>
                </c:pt>
                <c:pt idx="33">
                  <c:v>255</c:v>
                </c:pt>
                <c:pt idx="34">
                  <c:v>253</c:v>
                </c:pt>
                <c:pt idx="35">
                  <c:v>1407</c:v>
                </c:pt>
                <c:pt idx="36">
                  <c:v>359</c:v>
                </c:pt>
                <c:pt idx="37">
                  <c:v>1084</c:v>
                </c:pt>
                <c:pt idx="38">
                  <c:v>1403</c:v>
                </c:pt>
                <c:pt idx="39">
                  <c:v>297</c:v>
                </c:pt>
                <c:pt idx="40">
                  <c:v>767</c:v>
                </c:pt>
                <c:pt idx="41">
                  <c:v>1338</c:v>
                </c:pt>
                <c:pt idx="42">
                  <c:v>180</c:v>
                </c:pt>
                <c:pt idx="43">
                  <c:v>419</c:v>
                </c:pt>
                <c:pt idx="44">
                  <c:v>905</c:v>
                </c:pt>
                <c:pt idx="45">
                  <c:v>673</c:v>
                </c:pt>
                <c:pt idx="46">
                  <c:v>1204</c:v>
                </c:pt>
                <c:pt idx="47">
                  <c:v>678</c:v>
                </c:pt>
                <c:pt idx="48">
                  <c:v>389</c:v>
                </c:pt>
                <c:pt idx="49">
                  <c:v>394</c:v>
                </c:pt>
                <c:pt idx="50">
                  <c:v>120</c:v>
                </c:pt>
                <c:pt idx="51">
                  <c:v>305</c:v>
                </c:pt>
                <c:pt idx="52">
                  <c:v>1108</c:v>
                </c:pt>
                <c:pt idx="53">
                  <c:v>295</c:v>
                </c:pt>
                <c:pt idx="54">
                  <c:v>143</c:v>
                </c:pt>
                <c:pt idx="55">
                  <c:v>891</c:v>
                </c:pt>
                <c:pt idx="56">
                  <c:v>445</c:v>
                </c:pt>
                <c:pt idx="57">
                  <c:v>284</c:v>
                </c:pt>
                <c:pt idx="58">
                  <c:v>154</c:v>
                </c:pt>
                <c:pt idx="59">
                  <c:v>175</c:v>
                </c:pt>
                <c:pt idx="60">
                  <c:v>671</c:v>
                </c:pt>
                <c:pt idx="61">
                  <c:v>266</c:v>
                </c:pt>
                <c:pt idx="62">
                  <c:v>611</c:v>
                </c:pt>
                <c:pt idx="63">
                  <c:v>259</c:v>
                </c:pt>
                <c:pt idx="64">
                  <c:v>1368</c:v>
                </c:pt>
                <c:pt idx="65">
                  <c:v>592</c:v>
                </c:pt>
                <c:pt idx="66">
                  <c:v>870</c:v>
                </c:pt>
                <c:pt idx="67">
                  <c:v>1236</c:v>
                </c:pt>
                <c:pt idx="68">
                  <c:v>187</c:v>
                </c:pt>
                <c:pt idx="69">
                  <c:v>357</c:v>
                </c:pt>
                <c:pt idx="70">
                  <c:v>431</c:v>
                </c:pt>
                <c:pt idx="71">
                  <c:v>793</c:v>
                </c:pt>
                <c:pt idx="72">
                  <c:v>350</c:v>
                </c:pt>
                <c:pt idx="73">
                  <c:v>781</c:v>
                </c:pt>
                <c:pt idx="74">
                  <c:v>488</c:v>
                </c:pt>
                <c:pt idx="75">
                  <c:v>496</c:v>
                </c:pt>
                <c:pt idx="76">
                  <c:v>576</c:v>
                </c:pt>
                <c:pt idx="77">
                  <c:v>1053</c:v>
                </c:pt>
                <c:pt idx="78">
                  <c:v>428</c:v>
                </c:pt>
                <c:pt idx="79">
                  <c:v>447</c:v>
                </c:pt>
                <c:pt idx="80">
                  <c:v>1059</c:v>
                </c:pt>
                <c:pt idx="81">
                  <c:v>389</c:v>
                </c:pt>
                <c:pt idx="82">
                  <c:v>913</c:v>
                </c:pt>
                <c:pt idx="83">
                  <c:v>1136</c:v>
                </c:pt>
                <c:pt idx="84">
                  <c:v>1135</c:v>
                </c:pt>
                <c:pt idx="85">
                  <c:v>232</c:v>
                </c:pt>
                <c:pt idx="86">
                  <c:v>1319</c:v>
                </c:pt>
                <c:pt idx="87">
                  <c:v>465</c:v>
                </c:pt>
                <c:pt idx="88">
                  <c:v>1100</c:v>
                </c:pt>
                <c:pt idx="89">
                  <c:v>386</c:v>
                </c:pt>
                <c:pt idx="90">
                  <c:v>1337</c:v>
                </c:pt>
                <c:pt idx="91">
                  <c:v>130</c:v>
                </c:pt>
                <c:pt idx="92">
                  <c:v>680</c:v>
                </c:pt>
                <c:pt idx="93">
                  <c:v>1355</c:v>
                </c:pt>
                <c:pt idx="94">
                  <c:v>889</c:v>
                </c:pt>
                <c:pt idx="95">
                  <c:v>1102</c:v>
                </c:pt>
                <c:pt idx="96">
                  <c:v>638</c:v>
                </c:pt>
                <c:pt idx="97">
                  <c:v>885</c:v>
                </c:pt>
                <c:pt idx="98">
                  <c:v>1188</c:v>
                </c:pt>
                <c:pt idx="99">
                  <c:v>1338</c:v>
                </c:pt>
              </c:numCache>
            </c:numRef>
          </c:xVal>
          <c:yVal>
            <c:numRef>
              <c:f>Расчеты!$AS$18:$AS$117</c:f>
              <c:numCache>
                <c:ptCount val="100"/>
                <c:pt idx="0">
                  <c:v>0.28</c:v>
                </c:pt>
                <c:pt idx="1">
                  <c:v>0.86</c:v>
                </c:pt>
                <c:pt idx="2">
                  <c:v>0.95</c:v>
                </c:pt>
                <c:pt idx="3">
                  <c:v>0.35</c:v>
                </c:pt>
                <c:pt idx="4">
                  <c:v>0.58</c:v>
                </c:pt>
                <c:pt idx="5">
                  <c:v>0.97</c:v>
                </c:pt>
                <c:pt idx="6">
                  <c:v>0.78</c:v>
                </c:pt>
                <c:pt idx="7">
                  <c:v>0.59</c:v>
                </c:pt>
                <c:pt idx="8">
                  <c:v>0.56</c:v>
                </c:pt>
                <c:pt idx="9">
                  <c:v>0.05</c:v>
                </c:pt>
                <c:pt idx="10">
                  <c:v>0.18</c:v>
                </c:pt>
                <c:pt idx="11">
                  <c:v>0.22</c:v>
                </c:pt>
                <c:pt idx="12">
                  <c:v>0.13</c:v>
                </c:pt>
                <c:pt idx="13">
                  <c:v>0.41</c:v>
                </c:pt>
                <c:pt idx="14">
                  <c:v>0.91</c:v>
                </c:pt>
                <c:pt idx="15">
                  <c:v>0.43</c:v>
                </c:pt>
                <c:pt idx="16">
                  <c:v>0.57</c:v>
                </c:pt>
                <c:pt idx="17">
                  <c:v>0.22</c:v>
                </c:pt>
                <c:pt idx="18">
                  <c:v>0.68</c:v>
                </c:pt>
                <c:pt idx="19">
                  <c:v>0.08</c:v>
                </c:pt>
                <c:pt idx="20">
                  <c:v>0.1</c:v>
                </c:pt>
                <c:pt idx="21">
                  <c:v>0.92</c:v>
                </c:pt>
                <c:pt idx="22">
                  <c:v>0.71</c:v>
                </c:pt>
                <c:pt idx="23">
                  <c:v>0.35</c:v>
                </c:pt>
                <c:pt idx="24">
                  <c:v>0.98</c:v>
                </c:pt>
                <c:pt idx="25">
                  <c:v>0.1</c:v>
                </c:pt>
                <c:pt idx="26">
                  <c:v>0.57</c:v>
                </c:pt>
                <c:pt idx="27">
                  <c:v>0.07</c:v>
                </c:pt>
                <c:pt idx="28">
                  <c:v>0.61</c:v>
                </c:pt>
                <c:pt idx="29">
                  <c:v>0.07</c:v>
                </c:pt>
                <c:pt idx="30">
                  <c:v>0.53</c:v>
                </c:pt>
                <c:pt idx="31">
                  <c:v>0.9</c:v>
                </c:pt>
                <c:pt idx="32">
                  <c:v>0.25</c:v>
                </c:pt>
                <c:pt idx="33">
                  <c:v>0.87</c:v>
                </c:pt>
                <c:pt idx="34">
                  <c:v>0.19</c:v>
                </c:pt>
                <c:pt idx="35">
                  <c:v>0.02</c:v>
                </c:pt>
                <c:pt idx="36">
                  <c:v>0.7</c:v>
                </c:pt>
                <c:pt idx="37">
                  <c:v>0.13</c:v>
                </c:pt>
                <c:pt idx="38">
                  <c:v>0.61</c:v>
                </c:pt>
                <c:pt idx="39">
                  <c:v>0.44</c:v>
                </c:pt>
                <c:pt idx="40">
                  <c:v>0.86</c:v>
                </c:pt>
                <c:pt idx="41">
                  <c:v>0.86</c:v>
                </c:pt>
                <c:pt idx="42">
                  <c:v>0.67</c:v>
                </c:pt>
                <c:pt idx="43">
                  <c:v>0.51</c:v>
                </c:pt>
                <c:pt idx="44">
                  <c:v>0.22</c:v>
                </c:pt>
                <c:pt idx="45">
                  <c:v>0.11</c:v>
                </c:pt>
                <c:pt idx="46">
                  <c:v>0.16</c:v>
                </c:pt>
                <c:pt idx="47">
                  <c:v>0.86</c:v>
                </c:pt>
                <c:pt idx="48">
                  <c:v>0.24</c:v>
                </c:pt>
                <c:pt idx="49">
                  <c:v>0.1</c:v>
                </c:pt>
                <c:pt idx="50">
                  <c:v>0.46</c:v>
                </c:pt>
                <c:pt idx="51">
                  <c:v>0.22</c:v>
                </c:pt>
                <c:pt idx="52">
                  <c:v>0.37</c:v>
                </c:pt>
                <c:pt idx="53">
                  <c:v>0.91</c:v>
                </c:pt>
                <c:pt idx="54">
                  <c:v>0.42</c:v>
                </c:pt>
                <c:pt idx="55">
                  <c:v>0.92</c:v>
                </c:pt>
                <c:pt idx="56">
                  <c:v>0.56</c:v>
                </c:pt>
                <c:pt idx="57">
                  <c:v>0.62</c:v>
                </c:pt>
                <c:pt idx="58">
                  <c:v>0.83</c:v>
                </c:pt>
                <c:pt idx="59">
                  <c:v>0.67</c:v>
                </c:pt>
                <c:pt idx="60">
                  <c:v>0.64</c:v>
                </c:pt>
                <c:pt idx="61">
                  <c:v>0.54</c:v>
                </c:pt>
                <c:pt idx="62">
                  <c:v>0.35</c:v>
                </c:pt>
                <c:pt idx="63">
                  <c:v>0.28</c:v>
                </c:pt>
                <c:pt idx="64">
                  <c:v>0.28</c:v>
                </c:pt>
                <c:pt idx="65">
                  <c:v>0.74</c:v>
                </c:pt>
                <c:pt idx="66">
                  <c:v>0.08</c:v>
                </c:pt>
                <c:pt idx="67">
                  <c:v>0.42</c:v>
                </c:pt>
                <c:pt idx="68">
                  <c:v>0.98</c:v>
                </c:pt>
                <c:pt idx="69">
                  <c:v>0.72</c:v>
                </c:pt>
                <c:pt idx="70">
                  <c:v>0.59</c:v>
                </c:pt>
                <c:pt idx="71">
                  <c:v>0.81</c:v>
                </c:pt>
                <c:pt idx="72">
                  <c:v>0.17</c:v>
                </c:pt>
                <c:pt idx="73">
                  <c:v>0.82</c:v>
                </c:pt>
                <c:pt idx="74">
                  <c:v>0.02</c:v>
                </c:pt>
                <c:pt idx="75">
                  <c:v>0.83</c:v>
                </c:pt>
                <c:pt idx="76">
                  <c:v>0.37</c:v>
                </c:pt>
                <c:pt idx="77">
                  <c:v>0.02</c:v>
                </c:pt>
                <c:pt idx="78">
                  <c:v>0.47</c:v>
                </c:pt>
                <c:pt idx="79">
                  <c:v>0.72</c:v>
                </c:pt>
                <c:pt idx="80">
                  <c:v>0.68</c:v>
                </c:pt>
                <c:pt idx="81">
                  <c:v>0.37</c:v>
                </c:pt>
                <c:pt idx="82">
                  <c:v>0.12</c:v>
                </c:pt>
                <c:pt idx="83">
                  <c:v>0.6</c:v>
                </c:pt>
                <c:pt idx="84">
                  <c:v>0.81</c:v>
                </c:pt>
                <c:pt idx="85">
                  <c:v>0.71</c:v>
                </c:pt>
                <c:pt idx="86">
                  <c:v>0.79</c:v>
                </c:pt>
                <c:pt idx="87">
                  <c:v>0.85</c:v>
                </c:pt>
                <c:pt idx="88">
                  <c:v>0.75</c:v>
                </c:pt>
                <c:pt idx="89">
                  <c:v>0.21</c:v>
                </c:pt>
                <c:pt idx="90">
                  <c:v>0.24</c:v>
                </c:pt>
                <c:pt idx="91">
                  <c:v>0.08</c:v>
                </c:pt>
                <c:pt idx="92">
                  <c:v>0.03</c:v>
                </c:pt>
                <c:pt idx="93">
                  <c:v>0.63</c:v>
                </c:pt>
                <c:pt idx="94">
                  <c:v>0.11</c:v>
                </c:pt>
                <c:pt idx="95">
                  <c:v>0.16</c:v>
                </c:pt>
                <c:pt idx="96">
                  <c:v>0.65</c:v>
                </c:pt>
                <c:pt idx="97">
                  <c:v>0.35</c:v>
                </c:pt>
                <c:pt idx="98">
                  <c:v>0.39</c:v>
                </c:pt>
                <c:pt idx="99">
                  <c:v>0.28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Расчеты!$AU$16</c:f>
              <c:strCache>
                <c:ptCount val="1"/>
                <c:pt idx="0">
                  <c:v>10 видимых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Расчеты!$AU$18:$AU$27</c:f>
              <c:numCache>
                <c:ptCount val="10"/>
                <c:pt idx="0">
                  <c:v>1407</c:v>
                </c:pt>
                <c:pt idx="1">
                  <c:v>1403</c:v>
                </c:pt>
                <c:pt idx="2">
                  <c:v>1368</c:v>
                </c:pt>
                <c:pt idx="3">
                  <c:v>1355</c:v>
                </c:pt>
                <c:pt idx="4">
                  <c:v>1350</c:v>
                </c:pt>
                <c:pt idx="5">
                  <c:v>1345</c:v>
                </c:pt>
                <c:pt idx="6">
                  <c:v>1339</c:v>
                </c:pt>
                <c:pt idx="7">
                  <c:v>1338</c:v>
                </c:pt>
                <c:pt idx="8">
                  <c:v>1338</c:v>
                </c:pt>
                <c:pt idx="9">
                  <c:v>1337</c:v>
                </c:pt>
              </c:numCache>
            </c:numRef>
          </c:xVal>
          <c:yVal>
            <c:numRef>
              <c:f>Расчеты!$AV$18:$AV$27</c:f>
              <c:numCache>
                <c:ptCount val="10"/>
                <c:pt idx="0">
                  <c:v>0.02</c:v>
                </c:pt>
                <c:pt idx="1">
                  <c:v>0.61</c:v>
                </c:pt>
                <c:pt idx="2">
                  <c:v>0.28</c:v>
                </c:pt>
                <c:pt idx="3">
                  <c:v>0.63</c:v>
                </c:pt>
                <c:pt idx="4">
                  <c:v>0.68</c:v>
                </c:pt>
                <c:pt idx="5">
                  <c:v>0.58</c:v>
                </c:pt>
                <c:pt idx="6">
                  <c:v>0.98</c:v>
                </c:pt>
                <c:pt idx="7">
                  <c:v>0.28</c:v>
                </c:pt>
                <c:pt idx="8">
                  <c:v>0.86</c:v>
                </c:pt>
                <c:pt idx="9">
                  <c:v>0.24</c:v>
                </c:pt>
              </c:numCache>
            </c:numRef>
          </c:yVal>
          <c:smooth val="0"/>
        </c:ser>
        <c:axId val="38017098"/>
        <c:axId val="6609563"/>
      </c:scatterChart>
      <c:valAx>
        <c:axId val="380170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09563"/>
        <c:crosses val="autoZero"/>
        <c:crossBetween val="midCat"/>
        <c:dispUnits/>
      </c:valAx>
      <c:valAx>
        <c:axId val="66095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0170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825"/>
          <c:y val="0.09"/>
          <c:w val="0.691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2335"/>
          <c:w val="0.9745"/>
          <c:h val="0.5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Расчеты!$BE$17</c:f>
              <c:strCache>
                <c:ptCount val="1"/>
                <c:pt idx="0">
                  <c:v>Нивидимое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Расчеты!$AX$18</c:f>
              <c:strCache>
                <c:ptCount val="1"/>
                <c:pt idx="0">
                  <c:v>KPI 1</c:v>
                </c:pt>
              </c:strCache>
            </c:strRef>
          </c:cat>
          <c:val>
            <c:numRef>
              <c:f>Расчеты!$BE$18</c:f>
              <c:numCache>
                <c:ptCount val="1"/>
                <c:pt idx="0">
                  <c:v>107</c:v>
                </c:pt>
              </c:numCache>
            </c:numRef>
          </c:val>
        </c:ser>
        <c:ser>
          <c:idx val="1"/>
          <c:order val="1"/>
          <c:tx>
            <c:strRef>
              <c:f>Расчеты!$BF$17</c:f>
              <c:strCache>
                <c:ptCount val="1"/>
                <c:pt idx="0">
                  <c:v>Total Min - 10Min</c:v>
                </c:pt>
              </c:strCache>
            </c:strRef>
          </c:tx>
          <c:spPr>
            <a:solidFill>
              <a:srgbClr val="F2F2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2F2F2"/>
              </a:solidFill>
              <a:ln w="3175">
                <a:noFill/>
              </a:ln>
            </c:spPr>
          </c:dPt>
          <c:cat>
            <c:strRef>
              <c:f>Расчеты!$AX$18</c:f>
              <c:strCache>
                <c:ptCount val="1"/>
                <c:pt idx="0">
                  <c:v>KPI 1</c:v>
                </c:pt>
              </c:strCache>
            </c:strRef>
          </c:cat>
          <c:val>
            <c:numRef>
              <c:f>Расчеты!$BF$18</c:f>
              <c:numCache>
                <c:ptCount val="1"/>
                <c:pt idx="0">
                  <c:v>1230</c:v>
                </c:pt>
              </c:numCache>
            </c:numRef>
          </c:val>
        </c:ser>
        <c:ser>
          <c:idx val="2"/>
          <c:order val="2"/>
          <c:tx>
            <c:strRef>
              <c:f>Расчеты!$BG$17</c:f>
              <c:strCache>
                <c:ptCount val="1"/>
                <c:pt idx="0">
                  <c:v>10Min - 10Max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Расчеты!$AX$18</c:f>
              <c:strCache>
                <c:ptCount val="1"/>
                <c:pt idx="0">
                  <c:v>KPI 1</c:v>
                </c:pt>
              </c:strCache>
            </c:strRef>
          </c:cat>
          <c:val>
            <c:numRef>
              <c:f>Расчеты!$BG$18</c:f>
              <c:numCache>
                <c:ptCount val="1"/>
                <c:pt idx="0">
                  <c:v>70</c:v>
                </c:pt>
              </c:numCache>
            </c:numRef>
          </c:val>
        </c:ser>
        <c:ser>
          <c:idx val="3"/>
          <c:order val="3"/>
          <c:tx>
            <c:strRef>
              <c:f>Расчеты!$BH$17</c:f>
              <c:strCache>
                <c:ptCount val="1"/>
                <c:pt idx="0">
                  <c:v>10 Max - Total Max</c:v>
                </c:pt>
              </c:strCache>
            </c:strRef>
          </c:tx>
          <c:spPr>
            <a:solidFill>
              <a:srgbClr val="F2F2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Расчеты!$AX$18</c:f>
              <c:strCache>
                <c:ptCount val="1"/>
                <c:pt idx="0">
                  <c:v>KPI 1</c:v>
                </c:pt>
              </c:strCache>
            </c:strRef>
          </c:cat>
          <c:val>
            <c:numRef>
              <c:f>Расчеты!$BH$18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10"/>
        <c:axId val="59486068"/>
        <c:axId val="65612565"/>
      </c:barChart>
      <c:scatterChart>
        <c:scatterStyle val="lineMarker"/>
        <c:varyColors val="0"/>
        <c:ser>
          <c:idx val="4"/>
          <c:order val="4"/>
          <c:tx>
            <c:strRef>
              <c:f>Расчеты!$BC$17</c:f>
              <c:strCache>
                <c:ptCount val="1"/>
                <c:pt idx="0">
                  <c:v>Среднее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Расчеты!$BC$18</c:f>
              <c:numCache>
                <c:ptCount val="1"/>
                <c:pt idx="0">
                  <c:v>725.06</c:v>
                </c:pt>
              </c:numCache>
            </c:numRef>
          </c:xVal>
          <c:yVal>
            <c:numRef>
              <c:f>Расчеты!$BC$24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Расчеты!$BD$17</c:f>
              <c:strCache>
                <c:ptCount val="1"/>
                <c:pt idx="0">
                  <c:v>Целевое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errBars>
            <c:errDir val="y"/>
            <c:errBarType val="both"/>
            <c:errValType val="fixedVal"/>
            <c:val val="0.9"/>
            <c:noEndCap val="1"/>
            <c:spPr>
              <a:ln w="25400">
                <a:solidFill>
                  <a:srgbClr val="666699"/>
                </a:solidFill>
              </a:ln>
            </c:spPr>
          </c:errBars>
          <c:errBars>
            <c:errDir val="x"/>
            <c:errBarType val="both"/>
            <c:errValType val="fixedVal"/>
            <c:val val="1.2"/>
            <c:noEndCap val="0"/>
            <c:spPr>
              <a:ln w="3175">
                <a:solidFill>
                  <a:srgbClr val="666699"/>
                </a:solidFill>
              </a:ln>
            </c:spPr>
          </c:errBars>
          <c:xVal>
            <c:numRef>
              <c:f>Расчеты!$BD$18</c:f>
              <c:numCache>
                <c:ptCount val="1"/>
                <c:pt idx="0">
                  <c:v>500</c:v>
                </c:pt>
              </c:numCache>
            </c:numRef>
          </c:xVal>
          <c:yVal>
            <c:numRef>
              <c:f>Расчеты!$BD$24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642174"/>
        <c:axId val="13017519"/>
      </c:scatterChart>
      <c:catAx>
        <c:axId val="594860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612565"/>
        <c:crosses val="autoZero"/>
        <c:auto val="1"/>
        <c:lblOffset val="100"/>
        <c:tickLblSkip val="1"/>
        <c:noMultiLvlLbl val="0"/>
      </c:catAx>
      <c:val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486068"/>
        <c:crossesAt val="1"/>
        <c:crossBetween val="between"/>
        <c:dispUnits/>
      </c:valAx>
      <c:valAx>
        <c:axId val="536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17519"/>
        <c:crosses val="autoZero"/>
        <c:crossBetween val="midCat"/>
        <c:dispUnits/>
      </c:valAx>
      <c:valAx>
        <c:axId val="13017519"/>
        <c:scaling>
          <c:orientation val="minMax"/>
        </c:scaling>
        <c:axPos val="l"/>
        <c:delete val="1"/>
        <c:majorTickMark val="out"/>
        <c:minorTickMark val="none"/>
        <c:tickLblPos val="nextTo"/>
        <c:crossAx val="536421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2335"/>
          <c:w val="0.97675"/>
          <c:h val="0.5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Расчеты!$BE$17</c:f>
              <c:strCache>
                <c:ptCount val="1"/>
                <c:pt idx="0">
                  <c:v>Нивидимое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Расчеты!$AX$19</c:f>
              <c:strCache>
                <c:ptCount val="1"/>
                <c:pt idx="0">
                  <c:v>KPI 2</c:v>
                </c:pt>
              </c:strCache>
            </c:strRef>
          </c:cat>
          <c:val>
            <c:numRef>
              <c:f>Расчеты!$BE$19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Расчеты!$BF$17</c:f>
              <c:strCache>
                <c:ptCount val="1"/>
                <c:pt idx="0">
                  <c:v>Total Min - 10Min</c:v>
                </c:pt>
              </c:strCache>
            </c:strRef>
          </c:tx>
          <c:spPr>
            <a:solidFill>
              <a:srgbClr val="F2F2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Расчеты!$AX$19</c:f>
              <c:strCache>
                <c:ptCount val="1"/>
                <c:pt idx="0">
                  <c:v>KPI 2</c:v>
                </c:pt>
              </c:strCache>
            </c:strRef>
          </c:cat>
          <c:val>
            <c:numRef>
              <c:f>Расчеты!$BF$19</c:f>
              <c:numCache>
                <c:ptCount val="1"/>
                <c:pt idx="0">
                  <c:v>125</c:v>
                </c:pt>
              </c:numCache>
            </c:numRef>
          </c:val>
        </c:ser>
        <c:ser>
          <c:idx val="2"/>
          <c:order val="2"/>
          <c:tx>
            <c:strRef>
              <c:f>Расчеты!$BG$17</c:f>
              <c:strCache>
                <c:ptCount val="1"/>
                <c:pt idx="0">
                  <c:v>10Min - 10Max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Расчеты!$AX$19</c:f>
              <c:strCache>
                <c:ptCount val="1"/>
                <c:pt idx="0">
                  <c:v>KPI 2</c:v>
                </c:pt>
              </c:strCache>
            </c:strRef>
          </c:cat>
          <c:val>
            <c:numRef>
              <c:f>Расчеты!$BG$19</c:f>
              <c:numCache>
                <c:ptCount val="1"/>
                <c:pt idx="0">
                  <c:v>343</c:v>
                </c:pt>
              </c:numCache>
            </c:numRef>
          </c:val>
        </c:ser>
        <c:ser>
          <c:idx val="3"/>
          <c:order val="3"/>
          <c:tx>
            <c:strRef>
              <c:f>Расчеты!$BH$17</c:f>
              <c:strCache>
                <c:ptCount val="1"/>
                <c:pt idx="0">
                  <c:v>10 Max - Total Max</c:v>
                </c:pt>
              </c:strCache>
            </c:strRef>
          </c:tx>
          <c:spPr>
            <a:solidFill>
              <a:srgbClr val="F2F2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Расчеты!$AX$19</c:f>
              <c:strCache>
                <c:ptCount val="1"/>
                <c:pt idx="0">
                  <c:v>KPI 2</c:v>
                </c:pt>
              </c:strCache>
            </c:strRef>
          </c:cat>
          <c:val>
            <c:numRef>
              <c:f>Расчеты!$BH$19</c:f>
              <c:numCache>
                <c:ptCount val="1"/>
                <c:pt idx="0">
                  <c:v>16</c:v>
                </c:pt>
              </c:numCache>
            </c:numRef>
          </c:val>
        </c:ser>
        <c:overlap val="100"/>
        <c:gapWidth val="10"/>
        <c:axId val="50048808"/>
        <c:axId val="47786089"/>
      </c:barChart>
      <c:scatterChart>
        <c:scatterStyle val="lineMarker"/>
        <c:varyColors val="0"/>
        <c:ser>
          <c:idx val="4"/>
          <c:order val="4"/>
          <c:tx>
            <c:strRef>
              <c:f>Расчеты!$BC$17</c:f>
              <c:strCache>
                <c:ptCount val="1"/>
                <c:pt idx="0">
                  <c:v>Среднее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Расчеты!$BC$19</c:f>
              <c:numCache>
                <c:ptCount val="1"/>
                <c:pt idx="0">
                  <c:v>242.65</c:v>
                </c:pt>
              </c:numCache>
            </c:numRef>
          </c:xVal>
          <c:yVal>
            <c:numRef>
              <c:f>Расчеты!$BC$24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Расчеты!$BD$17</c:f>
              <c:strCache>
                <c:ptCount val="1"/>
                <c:pt idx="0">
                  <c:v>Целевое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errBars>
            <c:errDir val="y"/>
            <c:errBarType val="both"/>
            <c:errValType val="fixedVal"/>
            <c:val val="0.9"/>
            <c:noEndCap val="1"/>
            <c:spPr>
              <a:ln w="25400">
                <a:solidFill>
                  <a:srgbClr val="666699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666699"/>
                </a:solidFill>
              </a:ln>
            </c:spPr>
          </c:errBars>
          <c:xVal>
            <c:numRef>
              <c:f>Расчеты!$BD$19</c:f>
              <c:numCache>
                <c:ptCount val="1"/>
                <c:pt idx="0">
                  <c:v>200</c:v>
                </c:pt>
              </c:numCache>
            </c:numRef>
          </c:xVal>
          <c:yVal>
            <c:numRef>
              <c:f>Расчеты!$BD$24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7421618"/>
        <c:axId val="45467971"/>
      </c:scatterChart>
      <c:catAx>
        <c:axId val="500488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786089"/>
        <c:crosses val="autoZero"/>
        <c:auto val="1"/>
        <c:lblOffset val="100"/>
        <c:tickLblSkip val="1"/>
        <c:noMultiLvlLbl val="0"/>
      </c:catAx>
      <c:val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048808"/>
        <c:crossesAt val="1"/>
        <c:crossBetween val="between"/>
        <c:dispUnits/>
      </c:valAx>
      <c:valAx>
        <c:axId val="2742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67971"/>
        <c:crosses val="autoZero"/>
        <c:crossBetween val="midCat"/>
        <c:dispUnits/>
      </c:valAx>
      <c:valAx>
        <c:axId val="45467971"/>
        <c:scaling>
          <c:orientation val="minMax"/>
        </c:scaling>
        <c:axPos val="l"/>
        <c:delete val="1"/>
        <c:majorTickMark val="out"/>
        <c:minorTickMark val="none"/>
        <c:tickLblPos val="nextTo"/>
        <c:crossAx val="274216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21875"/>
          <c:w val="0.972"/>
          <c:h val="0.5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Расчеты!$BE$17</c:f>
              <c:strCache>
                <c:ptCount val="1"/>
                <c:pt idx="0">
                  <c:v>Нивидимое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Расчеты!$AX$20</c:f>
              <c:strCache>
                <c:ptCount val="1"/>
                <c:pt idx="0">
                  <c:v>KPI 3</c:v>
                </c:pt>
              </c:strCache>
            </c:strRef>
          </c:cat>
          <c:val>
            <c:numRef>
              <c:f>Расчеты!$BE$20</c:f>
              <c:numCach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Расчеты!$BF$17</c:f>
              <c:strCache>
                <c:ptCount val="1"/>
                <c:pt idx="0">
                  <c:v>Total Min - 10Min</c:v>
                </c:pt>
              </c:strCache>
            </c:strRef>
          </c:tx>
          <c:spPr>
            <a:solidFill>
              <a:srgbClr val="F2F2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Расчеты!$AX$20</c:f>
              <c:strCache>
                <c:ptCount val="1"/>
                <c:pt idx="0">
                  <c:v>KPI 3</c:v>
                </c:pt>
              </c:strCache>
            </c:strRef>
          </c:cat>
          <c:val>
            <c:numRef>
              <c:f>Расчеты!$BF$20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Расчеты!$BG$17</c:f>
              <c:strCache>
                <c:ptCount val="1"/>
                <c:pt idx="0">
                  <c:v>10Min - 10Max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Расчеты!$AX$20</c:f>
              <c:strCache>
                <c:ptCount val="1"/>
                <c:pt idx="0">
                  <c:v>KPI 3</c:v>
                </c:pt>
              </c:strCache>
            </c:strRef>
          </c:cat>
          <c:val>
            <c:numRef>
              <c:f>Расчеты!$BG$20</c:f>
              <c:numCache>
                <c:ptCount val="1"/>
                <c:pt idx="0">
                  <c:v>0.96</c:v>
                </c:pt>
              </c:numCache>
            </c:numRef>
          </c:val>
        </c:ser>
        <c:ser>
          <c:idx val="3"/>
          <c:order val="3"/>
          <c:tx>
            <c:strRef>
              <c:f>Расчеты!$BH$17</c:f>
              <c:strCache>
                <c:ptCount val="1"/>
                <c:pt idx="0">
                  <c:v>10 Max - Total Max</c:v>
                </c:pt>
              </c:strCache>
            </c:strRef>
          </c:tx>
          <c:spPr>
            <a:solidFill>
              <a:srgbClr val="F2F2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Расчеты!$AX$20</c:f>
              <c:strCache>
                <c:ptCount val="1"/>
                <c:pt idx="0">
                  <c:v>KPI 3</c:v>
                </c:pt>
              </c:strCache>
            </c:strRef>
          </c:cat>
          <c:val>
            <c:numRef>
              <c:f>Расчеты!$BH$20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10"/>
        <c:axId val="6558556"/>
        <c:axId val="59027005"/>
      </c:barChart>
      <c:scatterChart>
        <c:scatterStyle val="lineMarker"/>
        <c:varyColors val="0"/>
        <c:ser>
          <c:idx val="4"/>
          <c:order val="4"/>
          <c:tx>
            <c:strRef>
              <c:f>Расчеты!$BC$17</c:f>
              <c:strCache>
                <c:ptCount val="1"/>
                <c:pt idx="0">
                  <c:v>Среднее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Расчеты!$BC$20</c:f>
              <c:numCache>
                <c:ptCount val="1"/>
                <c:pt idx="0">
                  <c:v>0.48150000000000015</c:v>
                </c:pt>
              </c:numCache>
            </c:numRef>
          </c:xVal>
          <c:yVal>
            <c:numRef>
              <c:f>Расчеты!$BC$24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Расчеты!$BD$17</c:f>
              <c:strCache>
                <c:ptCount val="1"/>
                <c:pt idx="0">
                  <c:v>Целевое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errBars>
            <c:errDir val="y"/>
            <c:errBarType val="both"/>
            <c:errValType val="fixedVal"/>
            <c:val val="0.9"/>
            <c:noEndCap val="1"/>
            <c:spPr>
              <a:ln w="25400">
                <a:solidFill>
                  <a:srgbClr val="666699"/>
                </a:solidFill>
              </a:ln>
            </c:spPr>
          </c:errBars>
          <c:errBars>
            <c:errDir val="x"/>
            <c:errBarType val="both"/>
            <c:errValType val="fixedVal"/>
            <c:val val="0.0010000000000000002"/>
            <c:noEndCap val="0"/>
            <c:spPr>
              <a:ln w="3175">
                <a:solidFill>
                  <a:srgbClr val="666699"/>
                </a:solidFill>
              </a:ln>
            </c:spPr>
          </c:errBars>
          <c:xVal>
            <c:numRef>
              <c:f>Расчеты!$BD$20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Расчеты!$BD$24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1480998"/>
        <c:axId val="16458071"/>
      </c:scatterChart>
      <c:catAx>
        <c:axId val="65585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27005"/>
        <c:crosses val="autoZero"/>
        <c:auto val="1"/>
        <c:lblOffset val="100"/>
        <c:tickLblSkip val="1"/>
        <c:noMultiLvlLbl val="0"/>
      </c:catAx>
      <c:valAx>
        <c:axId val="59027005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58556"/>
        <c:crossesAt val="1"/>
        <c:crossBetween val="between"/>
        <c:dispUnits/>
      </c:valAx>
      <c:valAx>
        <c:axId val="6148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58071"/>
        <c:crosses val="autoZero"/>
        <c:crossBetween val="midCat"/>
        <c:dispUnits/>
      </c:valAx>
      <c:valAx>
        <c:axId val="16458071"/>
        <c:scaling>
          <c:orientation val="minMax"/>
        </c:scaling>
        <c:axPos val="l"/>
        <c:delete val="1"/>
        <c:majorTickMark val="out"/>
        <c:minorTickMark val="none"/>
        <c:tickLblPos val="nextTo"/>
        <c:crossAx val="614809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5</xdr:row>
      <xdr:rowOff>76200</xdr:rowOff>
    </xdr:from>
    <xdr:to>
      <xdr:col>7</xdr:col>
      <xdr:colOff>9525</xdr:colOff>
      <xdr:row>16</xdr:row>
      <xdr:rowOff>133350</xdr:rowOff>
    </xdr:to>
    <xdr:graphicFrame>
      <xdr:nvGraphicFramePr>
        <xdr:cNvPr id="1" name="Диаграмма 1"/>
        <xdr:cNvGraphicFramePr/>
      </xdr:nvGraphicFramePr>
      <xdr:xfrm>
        <a:off x="2286000" y="800100"/>
        <a:ext cx="7048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257175</xdr:colOff>
      <xdr:row>5</xdr:row>
      <xdr:rowOff>76200</xdr:rowOff>
    </xdr:from>
    <xdr:to>
      <xdr:col>10</xdr:col>
      <xdr:colOff>0</xdr:colOff>
      <xdr:row>16</xdr:row>
      <xdr:rowOff>133350</xdr:rowOff>
    </xdr:to>
    <xdr:graphicFrame>
      <xdr:nvGraphicFramePr>
        <xdr:cNvPr id="2" name="Диаграмма 8"/>
        <xdr:cNvGraphicFramePr/>
      </xdr:nvGraphicFramePr>
      <xdr:xfrm>
        <a:off x="3629025" y="800100"/>
        <a:ext cx="7048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</xdr:row>
      <xdr:rowOff>76200</xdr:rowOff>
    </xdr:from>
    <xdr:to>
      <xdr:col>13</xdr:col>
      <xdr:colOff>38100</xdr:colOff>
      <xdr:row>16</xdr:row>
      <xdr:rowOff>133350</xdr:rowOff>
    </xdr:to>
    <xdr:graphicFrame>
      <xdr:nvGraphicFramePr>
        <xdr:cNvPr id="3" name="Диаграмма 9"/>
        <xdr:cNvGraphicFramePr/>
      </xdr:nvGraphicFramePr>
      <xdr:xfrm>
        <a:off x="5010150" y="800100"/>
        <a:ext cx="7143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5</xdr:row>
      <xdr:rowOff>76200</xdr:rowOff>
    </xdr:from>
    <xdr:to>
      <xdr:col>16</xdr:col>
      <xdr:colOff>38100</xdr:colOff>
      <xdr:row>16</xdr:row>
      <xdr:rowOff>133350</xdr:rowOff>
    </xdr:to>
    <xdr:graphicFrame>
      <xdr:nvGraphicFramePr>
        <xdr:cNvPr id="4" name="Диаграмма 10"/>
        <xdr:cNvGraphicFramePr/>
      </xdr:nvGraphicFramePr>
      <xdr:xfrm>
        <a:off x="6362700" y="800100"/>
        <a:ext cx="7143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285750</xdr:colOff>
      <xdr:row>5</xdr:row>
      <xdr:rowOff>76200</xdr:rowOff>
    </xdr:from>
    <xdr:to>
      <xdr:col>19</xdr:col>
      <xdr:colOff>28575</xdr:colOff>
      <xdr:row>16</xdr:row>
      <xdr:rowOff>133350</xdr:rowOff>
    </xdr:to>
    <xdr:graphicFrame>
      <xdr:nvGraphicFramePr>
        <xdr:cNvPr id="5" name="Диаграмма 11"/>
        <xdr:cNvGraphicFramePr/>
      </xdr:nvGraphicFramePr>
      <xdr:xfrm>
        <a:off x="7715250" y="800100"/>
        <a:ext cx="70485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133350</xdr:colOff>
      <xdr:row>18</xdr:row>
      <xdr:rowOff>133350</xdr:rowOff>
    </xdr:from>
    <xdr:to>
      <xdr:col>10</xdr:col>
      <xdr:colOff>190500</xdr:colOff>
      <xdr:row>38</xdr:row>
      <xdr:rowOff>133350</xdr:rowOff>
    </xdr:to>
    <xdr:grpSp>
      <xdr:nvGrpSpPr>
        <xdr:cNvPr id="6" name="Группа 4"/>
        <xdr:cNvGrpSpPr>
          <a:grpSpLocks/>
        </xdr:cNvGrpSpPr>
      </xdr:nvGrpSpPr>
      <xdr:grpSpPr>
        <a:xfrm>
          <a:off x="266700" y="3028950"/>
          <a:ext cx="4257675" cy="3267075"/>
          <a:chOff x="552450" y="2952750"/>
          <a:chExt cx="4572000" cy="3238500"/>
        </a:xfrm>
        <a:solidFill>
          <a:srgbClr val="FFFFFF"/>
        </a:solidFill>
      </xdr:grpSpPr>
      <xdr:graphicFrame>
        <xdr:nvGraphicFramePr>
          <xdr:cNvPr id="7" name="Диаграмма 2"/>
          <xdr:cNvGraphicFramePr/>
        </xdr:nvGraphicFramePr>
        <xdr:xfrm>
          <a:off x="552450" y="2952750"/>
          <a:ext cx="4572000" cy="302394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10</xdr:col>
      <xdr:colOff>276225</xdr:colOff>
      <xdr:row>20</xdr:row>
      <xdr:rowOff>123825</xdr:rowOff>
    </xdr:from>
    <xdr:to>
      <xdr:col>19</xdr:col>
      <xdr:colOff>180975</xdr:colOff>
      <xdr:row>36</xdr:row>
      <xdr:rowOff>142875</xdr:rowOff>
    </xdr:to>
    <xdr:grpSp>
      <xdr:nvGrpSpPr>
        <xdr:cNvPr id="10" name="Группа 5"/>
        <xdr:cNvGrpSpPr>
          <a:grpSpLocks/>
        </xdr:cNvGrpSpPr>
      </xdr:nvGrpSpPr>
      <xdr:grpSpPr>
        <a:xfrm>
          <a:off x="4610100" y="3343275"/>
          <a:ext cx="3962400" cy="2609850"/>
          <a:chOff x="5067300" y="3267075"/>
          <a:chExt cx="3960000" cy="2614350"/>
        </a:xfrm>
        <a:solidFill>
          <a:srgbClr val="FFFFFF"/>
        </a:solidFill>
      </xdr:grpSpPr>
      <xdr:graphicFrame>
        <xdr:nvGraphicFramePr>
          <xdr:cNvPr id="11" name="Диаграмма 3"/>
          <xdr:cNvGraphicFramePr/>
        </xdr:nvGraphicFramePr>
        <xdr:xfrm>
          <a:off x="5067300" y="3267075"/>
          <a:ext cx="3960000" cy="57581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2" name="Диаграмма 16"/>
          <xdr:cNvGraphicFramePr/>
        </xdr:nvGraphicFramePr>
        <xdr:xfrm>
          <a:off x="5067300" y="3776873"/>
          <a:ext cx="3960000" cy="575811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3" name="Диаграмма 17"/>
          <xdr:cNvGraphicFramePr/>
        </xdr:nvGraphicFramePr>
        <xdr:xfrm>
          <a:off x="5067300" y="4286018"/>
          <a:ext cx="3960000" cy="575811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4" name="Диаграмма 18"/>
          <xdr:cNvGraphicFramePr/>
        </xdr:nvGraphicFramePr>
        <xdr:xfrm>
          <a:off x="5067300" y="4795816"/>
          <a:ext cx="3960000" cy="575811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5" name="Диаграмма 19"/>
          <xdr:cNvGraphicFramePr/>
        </xdr:nvGraphicFramePr>
        <xdr:xfrm>
          <a:off x="5067300" y="5305614"/>
          <a:ext cx="3960000" cy="575811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4"/>
  <sheetViews>
    <sheetView showGridLines="0" tabSelected="1" zoomScalePageLayoutView="0" workbookViewId="0" topLeftCell="A1">
      <selection activeCell="C3" sqref="C3"/>
    </sheetView>
  </sheetViews>
  <sheetFormatPr defaultColWidth="9.140625" defaultRowHeight="12.75"/>
  <cols>
    <col min="1" max="2" width="2.00390625" style="0" customWidth="1"/>
    <col min="3" max="3" width="4.28125" style="0" customWidth="1"/>
    <col min="4" max="4" width="16.140625" style="0" customWidth="1"/>
    <col min="5" max="5" width="5.8515625" style="0" customWidth="1"/>
    <col min="6" max="6" width="4.28125" style="0" customWidth="1"/>
    <col min="7" max="7" width="10.140625" style="0" customWidth="1"/>
    <col min="8" max="8" width="5.8515625" style="0" customWidth="1"/>
    <col min="9" max="9" width="4.28125" style="0" customWidth="1"/>
    <col min="10" max="10" width="10.140625" style="0" customWidth="1"/>
    <col min="11" max="11" width="5.8515625" style="0" customWidth="1"/>
    <col min="12" max="12" width="4.28125" style="0" customWidth="1"/>
    <col min="13" max="13" width="10.140625" style="0" customWidth="1"/>
    <col min="14" max="14" width="5.8515625" style="0" customWidth="1"/>
    <col min="15" max="15" width="4.28125" style="0" customWidth="1"/>
    <col min="16" max="16" width="10.140625" style="0" customWidth="1"/>
    <col min="17" max="17" width="5.8515625" style="0" customWidth="1"/>
    <col min="18" max="18" width="4.28125" style="0" customWidth="1"/>
    <col min="19" max="19" width="10.140625" style="0" customWidth="1"/>
    <col min="21" max="21" width="1.8515625" style="0" customWidth="1"/>
  </cols>
  <sheetData>
    <row r="1" ht="5.25" customHeight="1" thickBot="1"/>
    <row r="2" spans="2:20" ht="5.25" customHeight="1"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7"/>
    </row>
    <row r="3" spans="2:20" ht="15.75" thickBot="1">
      <c r="B3" s="118"/>
      <c r="C3" s="1" t="s">
        <v>146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19"/>
    </row>
    <row r="4" spans="2:20" ht="13.5" thickBot="1">
      <c r="B4" s="11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119"/>
    </row>
    <row r="5" spans="2:20" ht="17.25" customHeight="1">
      <c r="B5" s="118"/>
      <c r="C5" s="19" t="s">
        <v>0</v>
      </c>
      <c r="D5" s="20" t="s">
        <v>1</v>
      </c>
      <c r="E5" s="94" t="s">
        <v>2</v>
      </c>
      <c r="F5" s="95"/>
      <c r="G5" s="96"/>
      <c r="H5" s="94" t="s">
        <v>3</v>
      </c>
      <c r="I5" s="95"/>
      <c r="J5" s="96"/>
      <c r="K5" s="94" t="s">
        <v>4</v>
      </c>
      <c r="L5" s="95"/>
      <c r="M5" s="96"/>
      <c r="N5" s="94" t="s">
        <v>5</v>
      </c>
      <c r="O5" s="95"/>
      <c r="P5" s="96"/>
      <c r="Q5" s="94" t="s">
        <v>6</v>
      </c>
      <c r="R5" s="95"/>
      <c r="S5" s="97"/>
      <c r="T5" s="119"/>
    </row>
    <row r="6" spans="2:20" ht="17.25" customHeight="1">
      <c r="B6" s="118"/>
      <c r="C6" s="37"/>
      <c r="D6" s="38"/>
      <c r="E6" s="47">
        <v>1</v>
      </c>
      <c r="F6" s="43"/>
      <c r="G6" s="42"/>
      <c r="H6" s="47">
        <v>2</v>
      </c>
      <c r="I6" s="43"/>
      <c r="J6" s="66"/>
      <c r="K6" s="47">
        <v>3</v>
      </c>
      <c r="L6" s="43"/>
      <c r="M6" s="66"/>
      <c r="N6" s="47">
        <v>4</v>
      </c>
      <c r="O6" s="43"/>
      <c r="P6" s="43"/>
      <c r="Q6" s="67">
        <v>5</v>
      </c>
      <c r="R6" s="65"/>
      <c r="S6" s="44"/>
      <c r="T6" s="119"/>
    </row>
    <row r="7" spans="2:20" ht="12.75">
      <c r="B7" s="118"/>
      <c r="C7" s="3">
        <f ca="1">OFFSET(Данные!B8,Расчеты!$D$4,0,1,1)</f>
        <v>1</v>
      </c>
      <c r="D7" s="4" t="str">
        <f ca="1">OFFSET(Расчеты!I17,Расчеты!$D$4,0,1,1)</f>
        <v>Продукт 36</v>
      </c>
      <c r="E7" s="39">
        <f ca="1">OFFSET(Расчеты!J17,Расчеты!$D$4,0,1,1)</f>
        <v>1407</v>
      </c>
      <c r="F7" s="55">
        <f>IF(критерий_сортировки=E$6,"",IF(E7&gt;PERCENTILE(Расчеты!$J$18:$J$117,Данные!$D$2),"◄+",IF(E7&lt;PERCENTILE(Расчеты!$J$18:$J$117,Данные!$D$3),"◄-","")))</f>
      </c>
      <c r="G7" s="48"/>
      <c r="H7" s="39">
        <f ca="1">OFFSET(Расчеты!K17,Расчеты!$D$4,0,1,1)</f>
        <v>302</v>
      </c>
      <c r="I7" s="55">
        <f>IF(критерий_сортировки=H$6,"",IF(H7&gt;PERCENTILE(Расчеты!$K$18:$K$117,Данные!$D$2),"◄+",IF(H7&lt;PERCENTILE(Расчеты!$K$18:$K$117,Данные!$D$3),"◄-","")))</f>
      </c>
      <c r="J7" s="48"/>
      <c r="K7" s="45">
        <f ca="1">OFFSET(Расчеты!L17,Расчеты!$D$4,0,1,1)</f>
        <v>0.02</v>
      </c>
      <c r="L7" s="55" t="str">
        <f>IF(критерий_сортировки=K$6,"",IF(K7&gt;PERCENTILE(Расчеты!$L$18:$L$117,Данные!$D$2),"◄+",IF(K7&lt;PERCENTILE(Расчеты!$L$18:$L$117,Данные!$D$3),"◄-","")))</f>
        <v>◄-</v>
      </c>
      <c r="M7" s="48"/>
      <c r="N7" s="39">
        <f ca="1">OFFSET(Расчеты!M17,Расчеты!$D$4,0,1,1)</f>
        <v>634</v>
      </c>
      <c r="O7" s="55">
        <f>IF(критерий_сортировки=N$6,"",IF(N7&gt;PERCENTILE(Расчеты!$M$18:$M$117,Данные!$D$2),"◄+",IF(N7&lt;PERCENTILE(Расчеты!$M$18:$M$117,Данные!$D$3),"◄-","")))</f>
      </c>
      <c r="P7" s="48"/>
      <c r="Q7" s="39">
        <f ca="1">OFFSET(Расчеты!N17,Расчеты!$D$4,0,1,1)</f>
        <v>178.96</v>
      </c>
      <c r="R7" s="55">
        <f>IF(критерий_сортировки=Q$6,"",IF(Q7&gt;PERCENTILE(Расчеты!$N$18:$N$117,Данные!$D$2),"◄+",IF(Q7&lt;PERCENTILE(Расчеты!$N$18:$N$117,Данные!$D$3),"◄-","")))</f>
      </c>
      <c r="S7" s="50"/>
      <c r="T7" s="119"/>
    </row>
    <row r="8" spans="2:20" ht="12.75">
      <c r="B8" s="118"/>
      <c r="C8" s="3">
        <f ca="1">OFFSET(Данные!B9,Расчеты!$D$4,0,1,1)</f>
        <v>2</v>
      </c>
      <c r="D8" s="4" t="str">
        <f ca="1">OFFSET(Расчеты!I18,Расчеты!$D$4,0,1,1)</f>
        <v>Продукт 39</v>
      </c>
      <c r="E8" s="39">
        <f ca="1">OFFSET(Расчеты!J18,Расчеты!$D$4,0,1,1)</f>
        <v>1403</v>
      </c>
      <c r="F8" s="55">
        <f>IF(критерий_сортировки=E$6,"",IF(E8&gt;PERCENTILE(Расчеты!$J$18:$J$117,Данные!$D$2),"◄+",IF(E8&lt;PERCENTILE(Расчеты!$J$18:$J$117,Данные!$D$3),"◄-","")))</f>
      </c>
      <c r="G8" s="48"/>
      <c r="H8" s="39">
        <f ca="1">OFFSET(Расчеты!K18,Расчеты!$D$4,0,1,1)</f>
        <v>347</v>
      </c>
      <c r="I8" s="55">
        <f>IF(критерий_сортировки=H$6,"",IF(H8&gt;PERCENTILE(Расчеты!$K$18:$K$117,Данные!$D$2),"◄+",IF(H8&lt;PERCENTILE(Расчеты!$K$18:$K$117,Данные!$D$3),"◄-","")))</f>
      </c>
      <c r="J8" s="48"/>
      <c r="K8" s="45">
        <f ca="1">OFFSET(Расчеты!L18,Расчеты!$D$4,0,1,1)</f>
        <v>0.61</v>
      </c>
      <c r="L8" s="55">
        <f>IF(критерий_сортировки=K$6,"",IF(K8&gt;PERCENTILE(Расчеты!$L$18:$L$117,Данные!$D$2),"◄+",IF(K8&lt;PERCENTILE(Расчеты!$L$18:$L$117,Данные!$D$3),"◄-","")))</f>
      </c>
      <c r="M8" s="48"/>
      <c r="N8" s="39">
        <f ca="1">OFFSET(Расчеты!M18,Расчеты!$D$4,0,1,1)</f>
        <v>671</v>
      </c>
      <c r="O8" s="55">
        <f>IF(критерий_сортировки=N$6,"",IF(N8&gt;PERCENTILE(Расчеты!$M$18:$M$117,Данные!$D$2),"◄+",IF(N8&lt;PERCENTILE(Расчеты!$M$18:$M$117,Данные!$D$3),"◄-","")))</f>
      </c>
      <c r="P8" s="48"/>
      <c r="Q8" s="39">
        <f ca="1">OFFSET(Расчеты!N18,Расчеты!$D$4,0,1,1)</f>
        <v>206.15</v>
      </c>
      <c r="R8" s="55">
        <f>IF(критерий_сортировки=Q$6,"",IF(Q8&gt;PERCENTILE(Расчеты!$N$18:$N$117,Данные!$D$2),"◄+",IF(Q8&lt;PERCENTILE(Расчеты!$N$18:$N$117,Данные!$D$3),"◄-","")))</f>
      </c>
      <c r="S8" s="50"/>
      <c r="T8" s="119"/>
    </row>
    <row r="9" spans="2:20" ht="12.75">
      <c r="B9" s="118"/>
      <c r="C9" s="3">
        <f ca="1">OFFSET(Данные!B10,Расчеты!$D$4,0,1,1)</f>
        <v>3</v>
      </c>
      <c r="D9" s="4" t="str">
        <f ca="1">OFFSET(Расчеты!I19,Расчеты!$D$4,0,1,1)</f>
        <v>Продукт 65</v>
      </c>
      <c r="E9" s="39">
        <f ca="1">OFFSET(Расчеты!J19,Расчеты!$D$4,0,1,1)</f>
        <v>1368</v>
      </c>
      <c r="F9" s="55">
        <f>IF(критерий_сортировки=E$6,"",IF(E9&gt;PERCENTILE(Расчеты!$J$18:$J$117,Данные!$D$2),"◄+",IF(E9&lt;PERCENTILE(Расчеты!$J$18:$J$117,Данные!$D$3),"◄-","")))</f>
      </c>
      <c r="G9" s="48"/>
      <c r="H9" s="39">
        <f ca="1">OFFSET(Расчеты!K19,Расчеты!$D$4,0,1,1)</f>
        <v>188</v>
      </c>
      <c r="I9" s="55">
        <f>IF(критерий_сортировки=H$6,"",IF(H9&gt;PERCENTILE(Расчеты!$K$18:$K$117,Данные!$D$2),"◄+",IF(H9&lt;PERCENTILE(Расчеты!$K$18:$K$117,Данные!$D$3),"◄-","")))</f>
      </c>
      <c r="J9" s="48"/>
      <c r="K9" s="45">
        <f ca="1">OFFSET(Расчеты!L19,Расчеты!$D$4,0,1,1)</f>
        <v>0.28</v>
      </c>
      <c r="L9" s="55">
        <f>IF(критерий_сортировки=K$6,"",IF(K9&gt;PERCENTILE(Расчеты!$L$18:$L$117,Данные!$D$2),"◄+",IF(K9&lt;PERCENTILE(Расчеты!$L$18:$L$117,Данные!$D$3),"◄-","")))</f>
      </c>
      <c r="M9" s="48"/>
      <c r="N9" s="39">
        <f ca="1">OFFSET(Расчеты!M19,Расчеты!$D$4,0,1,1)</f>
        <v>539</v>
      </c>
      <c r="O9" s="55">
        <f>IF(критерий_сортировки=N$6,"",IF(N9&gt;PERCENTILE(Расчеты!$M$18:$M$117,Данные!$D$2),"◄+",IF(N9&lt;PERCENTILE(Расчеты!$M$18:$M$117,Данные!$D$3),"◄-","")))</f>
      </c>
      <c r="P9" s="48"/>
      <c r="Q9" s="39">
        <f ca="1">OFFSET(Расчеты!N19,Расчеты!$D$4,0,1,1)</f>
        <v>876.31</v>
      </c>
      <c r="R9" s="55">
        <f>IF(критерий_сортировки=Q$6,"",IF(Q9&gt;PERCENTILE(Расчеты!$N$18:$N$117,Данные!$D$2),"◄+",IF(Q9&lt;PERCENTILE(Расчеты!$N$18:$N$117,Данные!$D$3),"◄-","")))</f>
      </c>
      <c r="S9" s="50"/>
      <c r="T9" s="119"/>
    </row>
    <row r="10" spans="2:20" ht="12.75">
      <c r="B10" s="118"/>
      <c r="C10" s="3">
        <f ca="1">OFFSET(Данные!B11,Расчеты!$D$4,0,1,1)</f>
        <v>4</v>
      </c>
      <c r="D10" s="4" t="str">
        <f ca="1">OFFSET(Расчеты!I20,Расчеты!$D$4,0,1,1)</f>
        <v>Продукт 94</v>
      </c>
      <c r="E10" s="39">
        <f ca="1">OFFSET(Расчеты!J20,Расчеты!$D$4,0,1,1)</f>
        <v>1355</v>
      </c>
      <c r="F10" s="55">
        <f>IF(критерий_сортировки=E$6,"",IF(E10&gt;PERCENTILE(Расчеты!$J$18:$J$117,Данные!$D$2),"◄+",IF(E10&lt;PERCENTILE(Расчеты!$J$18:$J$117,Данные!$D$3),"◄-","")))</f>
      </c>
      <c r="G10" s="48"/>
      <c r="H10" s="39">
        <f ca="1">OFFSET(Расчеты!K20,Расчеты!$D$4,0,1,1)</f>
        <v>423</v>
      </c>
      <c r="I10" s="55">
        <f>IF(критерий_сортировки=H$6,"",IF(H10&gt;PERCENTILE(Расчеты!$K$18:$K$117,Данные!$D$2),"◄+",IF(H10&lt;PERCENTILE(Расчеты!$K$18:$K$117,Данные!$D$3),"◄-","")))</f>
      </c>
      <c r="J10" s="48"/>
      <c r="K10" s="45">
        <f ca="1">OFFSET(Расчеты!L20,Расчеты!$D$4,0,1,1)</f>
        <v>0.63</v>
      </c>
      <c r="L10" s="55">
        <f>IF(критерий_сортировки=K$6,"",IF(K10&gt;PERCENTILE(Расчеты!$L$18:$L$117,Данные!$D$2),"◄+",IF(K10&lt;PERCENTILE(Расчеты!$L$18:$L$117,Данные!$D$3),"◄-","")))</f>
      </c>
      <c r="M10" s="48"/>
      <c r="N10" s="39">
        <f ca="1">OFFSET(Расчеты!M20,Расчеты!$D$4,0,1,1)</f>
        <v>705</v>
      </c>
      <c r="O10" s="55" t="str">
        <f>IF(критерий_сортировки=N$6,"",IF(N10&gt;PERCENTILE(Расчеты!$M$18:$M$117,Данные!$D$2),"◄+",IF(N10&lt;PERCENTILE(Расчеты!$M$18:$M$117,Данные!$D$3),"◄-","")))</f>
        <v>◄+</v>
      </c>
      <c r="P10" s="48"/>
      <c r="Q10" s="39">
        <f ca="1">OFFSET(Расчеты!N20,Расчеты!$D$4,0,1,1)</f>
        <v>482.87</v>
      </c>
      <c r="R10" s="55">
        <f>IF(критерий_сортировки=Q$6,"",IF(Q10&gt;PERCENTILE(Расчеты!$N$18:$N$117,Данные!$D$2),"◄+",IF(Q10&lt;PERCENTILE(Расчеты!$N$18:$N$117,Данные!$D$3),"◄-","")))</f>
      </c>
      <c r="S10" s="50"/>
      <c r="T10" s="119"/>
    </row>
    <row r="11" spans="2:20" ht="12.75">
      <c r="B11" s="118"/>
      <c r="C11" s="3">
        <f ca="1">OFFSET(Данные!B12,Расчеты!$D$4,0,1,1)</f>
        <v>5</v>
      </c>
      <c r="D11" s="4" t="str">
        <f ca="1">OFFSET(Расчеты!I21,Расчеты!$D$4,0,1,1)</f>
        <v>Продукт 19</v>
      </c>
      <c r="E11" s="39">
        <f ca="1">OFFSET(Расчеты!J21,Расчеты!$D$4,0,1,1)</f>
        <v>1350</v>
      </c>
      <c r="F11" s="55">
        <f>IF(критерий_сортировки=E$6,"",IF(E11&gt;PERCENTILE(Расчеты!$J$18:$J$117,Данные!$D$2),"◄+",IF(E11&lt;PERCENTILE(Расчеты!$J$18:$J$117,Данные!$D$3),"◄-","")))</f>
      </c>
      <c r="G11" s="48"/>
      <c r="H11" s="39">
        <f ca="1">OFFSET(Расчеты!K21,Расчеты!$D$4,0,1,1)</f>
        <v>398</v>
      </c>
      <c r="I11" s="55">
        <f>IF(критерий_сортировки=H$6,"",IF(H11&gt;PERCENTILE(Расчеты!$K$18:$K$117,Данные!$D$2),"◄+",IF(H11&lt;PERCENTILE(Расчеты!$K$18:$K$117,Данные!$D$3),"◄-","")))</f>
      </c>
      <c r="J11" s="48"/>
      <c r="K11" s="45">
        <f ca="1">OFFSET(Расчеты!L21,Расчеты!$D$4,0,1,1)</f>
        <v>0.68</v>
      </c>
      <c r="L11" s="55">
        <f>IF(критерий_сортировки=K$6,"",IF(K11&gt;PERCENTILE(Расчеты!$L$18:$L$117,Данные!$D$2),"◄+",IF(K11&lt;PERCENTILE(Расчеты!$L$18:$L$117,Данные!$D$3),"◄-","")))</f>
      </c>
      <c r="M11" s="48"/>
      <c r="N11" s="39">
        <f ca="1">OFFSET(Расчеты!M21,Расчеты!$D$4,0,1,1)</f>
        <v>677</v>
      </c>
      <c r="O11" s="55">
        <f>IF(критерий_сортировки=N$6,"",IF(N11&gt;PERCENTILE(Расчеты!$M$18:$M$117,Данные!$D$2),"◄+",IF(N11&lt;PERCENTILE(Расчеты!$M$18:$M$117,Данные!$D$3),"◄-","")))</f>
      </c>
      <c r="P11" s="48"/>
      <c r="Q11" s="39">
        <f ca="1">OFFSET(Расчеты!N21,Расчеты!$D$4,0,1,1)</f>
        <v>411.09</v>
      </c>
      <c r="R11" s="55">
        <f>IF(критерий_сортировки=Q$6,"",IF(Q11&gt;PERCENTILE(Расчеты!$N$18:$N$117,Данные!$D$2),"◄+",IF(Q11&lt;PERCENTILE(Расчеты!$N$18:$N$117,Данные!$D$3),"◄-","")))</f>
      </c>
      <c r="S11" s="50"/>
      <c r="T11" s="119"/>
    </row>
    <row r="12" spans="2:20" ht="12.75">
      <c r="B12" s="118"/>
      <c r="C12" s="3">
        <f ca="1">OFFSET(Данные!B13,Расчеты!$D$4,0,1,1)</f>
        <v>6</v>
      </c>
      <c r="D12" s="4" t="str">
        <f ca="1">OFFSET(Расчеты!I22,Расчеты!$D$4,0,1,1)</f>
        <v>Продукт 5</v>
      </c>
      <c r="E12" s="39">
        <f ca="1">OFFSET(Расчеты!J22,Расчеты!$D$4,0,1,1)</f>
        <v>1345</v>
      </c>
      <c r="F12" s="55">
        <f>IF(критерий_сортировки=E$6,"",IF(E12&gt;PERCENTILE(Расчеты!$J$18:$J$117,Данные!$D$2),"◄+",IF(E12&lt;PERCENTILE(Расчеты!$J$18:$J$117,Данные!$D$3),"◄-","")))</f>
      </c>
      <c r="G12" s="48"/>
      <c r="H12" s="39">
        <f ca="1">OFFSET(Расчеты!K22,Расчеты!$D$4,0,1,1)</f>
        <v>130</v>
      </c>
      <c r="I12" s="55">
        <f>IF(критерий_сортировки=H$6,"",IF(H12&gt;PERCENTILE(Расчеты!$K$18:$K$117,Данные!$D$2),"◄+",IF(H12&lt;PERCENTILE(Расчеты!$K$18:$K$117,Данные!$D$3),"◄-","")))</f>
      </c>
      <c r="J12" s="48"/>
      <c r="K12" s="45">
        <f ca="1">OFFSET(Расчеты!L22,Расчеты!$D$4,0,1,1)</f>
        <v>0.58</v>
      </c>
      <c r="L12" s="55">
        <f>IF(критерий_сортировки=K$6,"",IF(K12&gt;PERCENTILE(Расчеты!$L$18:$L$117,Данные!$D$2),"◄+",IF(K12&lt;PERCENTILE(Расчеты!$L$18:$L$117,Данные!$D$3),"◄-","")))</f>
      </c>
      <c r="M12" s="48"/>
      <c r="N12" s="39">
        <f ca="1">OFFSET(Расчеты!M22,Расчеты!$D$4,0,1,1)</f>
        <v>352</v>
      </c>
      <c r="O12" s="55">
        <f>IF(критерий_сортировки=N$6,"",IF(N12&gt;PERCENTILE(Расчеты!$M$18:$M$117,Данные!$D$2),"◄+",IF(N12&lt;PERCENTILE(Расчеты!$M$18:$M$117,Данные!$D$3),"◄-","")))</f>
      </c>
      <c r="P12" s="48"/>
      <c r="Q12" s="39">
        <f ca="1">OFFSET(Расчеты!N22,Расчеты!$D$4,0,1,1)</f>
        <v>477.47</v>
      </c>
      <c r="R12" s="55">
        <f>IF(критерий_сортировки=Q$6,"",IF(Q12&gt;PERCENTILE(Расчеты!$N$18:$N$117,Данные!$D$2),"◄+",IF(Q12&lt;PERCENTILE(Расчеты!$N$18:$N$117,Данные!$D$3),"◄-","")))</f>
      </c>
      <c r="S12" s="50"/>
      <c r="T12" s="119"/>
    </row>
    <row r="13" spans="2:20" ht="12.75">
      <c r="B13" s="118"/>
      <c r="C13" s="3">
        <f ca="1">OFFSET(Данные!B14,Расчеты!$D$4,0,1,1)</f>
        <v>7</v>
      </c>
      <c r="D13" s="4" t="str">
        <f ca="1">OFFSET(Расчеты!I23,Расчеты!$D$4,0,1,1)</f>
        <v>Продукт 25</v>
      </c>
      <c r="E13" s="39">
        <f ca="1">OFFSET(Расчеты!J23,Расчеты!$D$4,0,1,1)</f>
        <v>1339</v>
      </c>
      <c r="F13" s="55">
        <f>IF(критерий_сортировки=E$6,"",IF(E13&gt;PERCENTILE(Расчеты!$J$18:$J$117,Данные!$D$2),"◄+",IF(E13&lt;PERCENTILE(Расчеты!$J$18:$J$117,Данные!$D$3),"◄-","")))</f>
      </c>
      <c r="G13" s="48"/>
      <c r="H13" s="39">
        <f ca="1">OFFSET(Расчеты!K23,Расчеты!$D$4,0,1,1)</f>
        <v>379</v>
      </c>
      <c r="I13" s="55">
        <f>IF(критерий_сортировки=H$6,"",IF(H13&gt;PERCENTILE(Расчеты!$K$18:$K$117,Данные!$D$2),"◄+",IF(H13&lt;PERCENTILE(Расчеты!$K$18:$K$117,Данные!$D$3),"◄-","")))</f>
      </c>
      <c r="J13" s="48"/>
      <c r="K13" s="45">
        <f ca="1">OFFSET(Расчеты!L23,Расчеты!$D$4,0,1,1)</f>
        <v>0.98</v>
      </c>
      <c r="L13" s="55" t="str">
        <f>IF(критерий_сортировки=K$6,"",IF(K13&gt;PERCENTILE(Расчеты!$L$18:$L$117,Данные!$D$2),"◄+",IF(K13&lt;PERCENTILE(Расчеты!$L$18:$L$117,Данные!$D$3),"◄-","")))</f>
        <v>◄+</v>
      </c>
      <c r="M13" s="48"/>
      <c r="N13" s="39">
        <f ca="1">OFFSET(Расчеты!M23,Расчеты!$D$4,0,1,1)</f>
        <v>494</v>
      </c>
      <c r="O13" s="55">
        <f>IF(критерий_сортировки=N$6,"",IF(N13&gt;PERCENTILE(Расчеты!$M$18:$M$117,Данные!$D$2),"◄+",IF(N13&lt;PERCENTILE(Расчеты!$M$18:$M$117,Данные!$D$3),"◄-","")))</f>
      </c>
      <c r="P13" s="48"/>
      <c r="Q13" s="39">
        <f ca="1">OFFSET(Расчеты!N23,Расчеты!$D$4,0,1,1)</f>
        <v>336.15</v>
      </c>
      <c r="R13" s="55">
        <f>IF(критерий_сортировки=Q$6,"",IF(Q13&gt;PERCENTILE(Расчеты!$N$18:$N$117,Данные!$D$2),"◄+",IF(Q13&lt;PERCENTILE(Расчеты!$N$18:$N$117,Данные!$D$3),"◄-","")))</f>
      </c>
      <c r="S13" s="50"/>
      <c r="T13" s="119"/>
    </row>
    <row r="14" spans="2:20" ht="12.75">
      <c r="B14" s="118"/>
      <c r="C14" s="3">
        <f ca="1">OFFSET(Данные!B15,Расчеты!$D$4,0,1,1)</f>
        <v>8</v>
      </c>
      <c r="D14" s="4" t="str">
        <f ca="1">OFFSET(Расчеты!I24,Расчеты!$D$4,0,1,1)</f>
        <v>Продукт 100</v>
      </c>
      <c r="E14" s="39">
        <f ca="1">OFFSET(Расчеты!J24,Расчеты!$D$4,0,1,1)</f>
        <v>1338</v>
      </c>
      <c r="F14" s="55">
        <f>IF(критерий_сортировки=E$6,"",IF(E14&gt;PERCENTILE(Расчеты!$J$18:$J$117,Данные!$D$2),"◄+",IF(E14&lt;PERCENTILE(Расчеты!$J$18:$J$117,Данные!$D$3),"◄-","")))</f>
      </c>
      <c r="G14" s="48"/>
      <c r="H14" s="39">
        <f ca="1">OFFSET(Расчеты!K24,Расчеты!$D$4,0,1,1)</f>
        <v>183</v>
      </c>
      <c r="I14" s="55">
        <f>IF(критерий_сортировки=H$6,"",IF(H14&gt;PERCENTILE(Расчеты!$K$18:$K$117,Данные!$D$2),"◄+",IF(H14&lt;PERCENTILE(Расчеты!$K$18:$K$117,Данные!$D$3),"◄-","")))</f>
      </c>
      <c r="J14" s="48"/>
      <c r="K14" s="45">
        <f ca="1">OFFSET(Расчеты!L24,Расчеты!$D$4,0,1,1)</f>
        <v>0.28</v>
      </c>
      <c r="L14" s="55">
        <f>IF(критерий_сортировки=K$6,"",IF(K14&gt;PERCENTILE(Расчеты!$L$18:$L$117,Данные!$D$2),"◄+",IF(K14&lt;PERCENTILE(Расчеты!$L$18:$L$117,Данные!$D$3),"◄-","")))</f>
      </c>
      <c r="M14" s="48"/>
      <c r="N14" s="39">
        <f ca="1">OFFSET(Расчеты!M24,Расчеты!$D$4,0,1,1)</f>
        <v>646</v>
      </c>
      <c r="O14" s="55">
        <f>IF(критерий_сортировки=N$6,"",IF(N14&gt;PERCENTILE(Расчеты!$M$18:$M$117,Данные!$D$2),"◄+",IF(N14&lt;PERCENTILE(Расчеты!$M$18:$M$117,Данные!$D$3),"◄-","")))</f>
      </c>
      <c r="P14" s="48"/>
      <c r="Q14" s="39">
        <f ca="1">OFFSET(Расчеты!N24,Расчеты!$D$4,0,1,1)</f>
        <v>343.29</v>
      </c>
      <c r="R14" s="55">
        <f>IF(критерий_сортировки=Q$6,"",IF(Q14&gt;PERCENTILE(Расчеты!$N$18:$N$117,Данные!$D$2),"◄+",IF(Q14&lt;PERCENTILE(Расчеты!$N$18:$N$117,Данные!$D$3),"◄-","")))</f>
      </c>
      <c r="S14" s="50"/>
      <c r="T14" s="119"/>
    </row>
    <row r="15" spans="2:20" ht="12.75">
      <c r="B15" s="118"/>
      <c r="C15" s="3">
        <f ca="1">OFFSET(Данные!B16,Расчеты!$D$4,0,1,1)</f>
        <v>9</v>
      </c>
      <c r="D15" s="4" t="str">
        <f ca="1">OFFSET(Расчеты!I25,Расчеты!$D$4,0,1,1)</f>
        <v>Продукт 42</v>
      </c>
      <c r="E15" s="39">
        <f ca="1">OFFSET(Расчеты!J25,Расчеты!$D$4,0,1,1)</f>
        <v>1338</v>
      </c>
      <c r="F15" s="55">
        <f>IF(критерий_сортировки=E$6,"",IF(E15&gt;PERCENTILE(Расчеты!$J$18:$J$117,Данные!$D$2),"◄+",IF(E15&lt;PERCENTILE(Расчеты!$J$18:$J$117,Данные!$D$3),"◄-","")))</f>
      </c>
      <c r="G15" s="48"/>
      <c r="H15" s="39">
        <f ca="1">OFFSET(Расчеты!K25,Расчеты!$D$4,0,1,1)</f>
        <v>261</v>
      </c>
      <c r="I15" s="55">
        <f>IF(критерий_сортировки=H$6,"",IF(H15&gt;PERCENTILE(Расчеты!$K$18:$K$117,Данные!$D$2),"◄+",IF(H15&lt;PERCENTILE(Расчеты!$K$18:$K$117,Данные!$D$3),"◄-","")))</f>
      </c>
      <c r="J15" s="48"/>
      <c r="K15" s="45">
        <f ca="1">OFFSET(Расчеты!L25,Расчеты!$D$4,0,1,1)</f>
        <v>0.86</v>
      </c>
      <c r="L15" s="55">
        <f>IF(критерий_сортировки=K$6,"",IF(K15&gt;PERCENTILE(Расчеты!$L$18:$L$117,Данные!$D$2),"◄+",IF(K15&lt;PERCENTILE(Расчеты!$L$18:$L$117,Данные!$D$3),"◄-","")))</f>
      </c>
      <c r="M15" s="48"/>
      <c r="N15" s="39">
        <f ca="1">OFFSET(Расчеты!M25,Расчеты!$D$4,0,1,1)</f>
        <v>648</v>
      </c>
      <c r="O15" s="55">
        <f>IF(критерий_сортировки=N$6,"",IF(N15&gt;PERCENTILE(Расчеты!$M$18:$M$117,Данные!$D$2),"◄+",IF(N15&lt;PERCENTILE(Расчеты!$M$18:$M$117,Данные!$D$3),"◄-","")))</f>
      </c>
      <c r="P15" s="48"/>
      <c r="Q15" s="39">
        <f ca="1">OFFSET(Расчеты!N25,Расчеты!$D$4,0,1,1)</f>
        <v>218.2</v>
      </c>
      <c r="R15" s="55">
        <f>IF(критерий_сортировки=Q$6,"",IF(Q15&gt;PERCENTILE(Расчеты!$N$18:$N$117,Данные!$D$2),"◄+",IF(Q15&lt;PERCENTILE(Расчеты!$N$18:$N$117,Данные!$D$3),"◄-","")))</f>
      </c>
      <c r="S15" s="50"/>
      <c r="T15" s="119"/>
    </row>
    <row r="16" spans="2:20" ht="13.5" thickBot="1">
      <c r="B16" s="118"/>
      <c r="C16" s="6">
        <f ca="1">OFFSET(Данные!B17,Расчеты!$D$4,0,1,1)</f>
        <v>10</v>
      </c>
      <c r="D16" s="7" t="str">
        <f ca="1">OFFSET(Расчеты!I26,Расчеты!$D$4,0,1,1)</f>
        <v>Продукт 91</v>
      </c>
      <c r="E16" s="40">
        <f ca="1">OFFSET(Расчеты!J26,Расчеты!$D$4,0,1,1)</f>
        <v>1337</v>
      </c>
      <c r="F16" s="56">
        <f>IF(критерий_сортировки=E$6,"",IF(E16&gt;PERCENTILE(Расчеты!$J$18:$J$117,Данные!$D$2),"◄+",IF(E16&lt;PERCENTILE(Расчеты!$J$18:$J$117,Данные!$D$3),"◄-","")))</f>
      </c>
      <c r="G16" s="49"/>
      <c r="H16" s="40">
        <f ca="1">OFFSET(Расчеты!K26,Расчеты!$D$4,0,1,1)</f>
        <v>473</v>
      </c>
      <c r="I16" s="56" t="str">
        <f>IF(критерий_сортировки=H$6,"",IF(H16&gt;PERCENTILE(Расчеты!$K$18:$K$117,Данные!$D$2),"◄+",IF(H16&lt;PERCENTILE(Расчеты!$K$18:$K$117,Данные!$D$3),"◄-","")))</f>
        <v>◄+</v>
      </c>
      <c r="J16" s="49"/>
      <c r="K16" s="46">
        <f ca="1">OFFSET(Расчеты!L26,Расчеты!$D$4,0,1,1)</f>
        <v>0.24</v>
      </c>
      <c r="L16" s="56">
        <f>IF(критерий_сортировки=K$6,"",IF(K16&gt;PERCENTILE(Расчеты!$L$18:$L$117,Данные!$D$2),"◄+",IF(K16&lt;PERCENTILE(Расчеты!$L$18:$L$117,Данные!$D$3),"◄-","")))</f>
      </c>
      <c r="M16" s="49"/>
      <c r="N16" s="40">
        <f ca="1">OFFSET(Расчеты!M26,Расчеты!$D$4,0,1,1)</f>
        <v>266</v>
      </c>
      <c r="O16" s="56" t="str">
        <f>IF(критерий_сортировки=N$6,"",IF(N16&gt;PERCENTILE(Расчеты!$M$18:$M$117,Данные!$D$2),"◄+",IF(N16&lt;PERCENTILE(Расчеты!$M$18:$M$117,Данные!$D$3),"◄-","")))</f>
        <v>◄-</v>
      </c>
      <c r="P16" s="49"/>
      <c r="Q16" s="40">
        <f ca="1">OFFSET(Расчеты!N26,Расчеты!$D$4,0,1,1)</f>
        <v>711.8</v>
      </c>
      <c r="R16" s="56">
        <f>IF(критерий_сортировки=Q$6,"",IF(Q16&gt;PERCENTILE(Расчеты!$N$18:$N$117,Данные!$D$2),"◄+",IF(Q16&lt;PERCENTILE(Расчеты!$N$18:$N$117,Данные!$D$3),"◄-","")))</f>
      </c>
      <c r="S16" s="51"/>
      <c r="T16" s="119"/>
    </row>
    <row r="17" spans="2:20" ht="12.75">
      <c r="B17" s="118"/>
      <c r="C17" s="41"/>
      <c r="D17" s="41"/>
      <c r="E17" s="41"/>
      <c r="F17" s="120" t="s">
        <v>129</v>
      </c>
      <c r="G17" s="121" t="s">
        <v>130</v>
      </c>
      <c r="H17" s="41"/>
      <c r="I17" s="41"/>
      <c r="J17" s="41"/>
      <c r="K17" s="122" t="s">
        <v>127</v>
      </c>
      <c r="L17" s="121" t="s">
        <v>126</v>
      </c>
      <c r="M17" s="41"/>
      <c r="N17" s="41"/>
      <c r="O17" s="41"/>
      <c r="P17" s="52" t="s">
        <v>117</v>
      </c>
      <c r="Q17" s="53" t="str">
        <f>"KPI &gt; "&amp;TEXT(Данные!$D$2,"0%")&amp;"-перцентиля"</f>
        <v>KPI &gt; 90%-перцентиля</v>
      </c>
      <c r="R17" s="41"/>
      <c r="S17" s="41"/>
      <c r="T17" s="119"/>
    </row>
    <row r="18" spans="2:20" ht="12.75">
      <c r="B18" s="118"/>
      <c r="C18" s="41"/>
      <c r="D18" s="41"/>
      <c r="E18" s="41"/>
      <c r="F18" s="41"/>
      <c r="G18" s="41"/>
      <c r="H18" s="41"/>
      <c r="I18" s="41"/>
      <c r="J18" s="41"/>
      <c r="K18" s="123" t="s">
        <v>127</v>
      </c>
      <c r="L18" s="121" t="s">
        <v>128</v>
      </c>
      <c r="M18" s="41"/>
      <c r="N18" s="41"/>
      <c r="O18" s="41"/>
      <c r="P18" s="54" t="s">
        <v>118</v>
      </c>
      <c r="Q18" s="53" t="str">
        <f>"KPI &gt; "&amp;TEXT(Данные!$D$2,"0%")&amp;"-перцентиля"</f>
        <v>KPI &gt; 90%-перцентиля</v>
      </c>
      <c r="R18" s="41"/>
      <c r="S18" s="41"/>
      <c r="T18" s="119"/>
    </row>
    <row r="19" spans="2:20" ht="12.75">
      <c r="B19" s="118"/>
      <c r="C19" s="41"/>
      <c r="D19" s="41"/>
      <c r="E19" s="41"/>
      <c r="F19" s="41"/>
      <c r="G19" s="41"/>
      <c r="H19" s="74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119"/>
    </row>
    <row r="20" spans="2:20" ht="12.75">
      <c r="B20" s="118"/>
      <c r="C20" s="41"/>
      <c r="D20" s="41"/>
      <c r="E20" s="41"/>
      <c r="F20" s="41"/>
      <c r="G20" s="41"/>
      <c r="H20" s="41"/>
      <c r="I20" s="41"/>
      <c r="J20" s="41"/>
      <c r="K20" s="41"/>
      <c r="L20" s="124" t="s">
        <v>159</v>
      </c>
      <c r="M20" s="41"/>
      <c r="N20" s="41"/>
      <c r="O20" s="41"/>
      <c r="P20" s="41"/>
      <c r="Q20" s="41"/>
      <c r="R20" s="41"/>
      <c r="S20" s="41"/>
      <c r="T20" s="119"/>
    </row>
    <row r="21" spans="2:20" ht="12.75">
      <c r="B21" s="118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119"/>
    </row>
    <row r="22" spans="2:20" ht="12.75">
      <c r="B22" s="118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119"/>
    </row>
    <row r="23" spans="2:20" ht="12.75">
      <c r="B23" s="118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119"/>
    </row>
    <row r="24" spans="2:20" ht="12.75">
      <c r="B24" s="118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19"/>
    </row>
    <row r="25" spans="2:20" ht="12.75">
      <c r="B25" s="118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119"/>
    </row>
    <row r="26" spans="2:20" ht="12.75">
      <c r="B26" s="11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119"/>
    </row>
    <row r="27" spans="2:20" ht="12.75">
      <c r="B27" s="11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119"/>
    </row>
    <row r="28" spans="2:20" ht="12.75">
      <c r="B28" s="118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119"/>
    </row>
    <row r="29" spans="2:20" ht="12.75">
      <c r="B29" s="11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119"/>
    </row>
    <row r="30" spans="2:20" ht="12.75">
      <c r="B30" s="118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119"/>
    </row>
    <row r="31" spans="2:20" ht="12.75">
      <c r="B31" s="118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119"/>
    </row>
    <row r="32" spans="2:20" ht="12.75">
      <c r="B32" s="118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119"/>
    </row>
    <row r="33" spans="2:20" ht="12.75">
      <c r="B33" s="118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119"/>
    </row>
    <row r="34" spans="2:20" ht="12.75">
      <c r="B34" s="11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119"/>
    </row>
    <row r="35" spans="2:20" ht="12.75">
      <c r="B35" s="118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119"/>
    </row>
    <row r="36" spans="2:20" ht="12.75">
      <c r="B36" s="11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119"/>
    </row>
    <row r="37" spans="2:20" ht="12.75">
      <c r="B37" s="118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119"/>
    </row>
    <row r="38" spans="2:20" ht="15">
      <c r="B38" s="11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111" t="s">
        <v>127</v>
      </c>
      <c r="P38" s="106" t="s">
        <v>160</v>
      </c>
      <c r="Q38" s="106"/>
      <c r="R38" s="113" t="s">
        <v>157</v>
      </c>
      <c r="S38" s="106" t="s">
        <v>161</v>
      </c>
      <c r="T38" s="125"/>
    </row>
    <row r="39" spans="2:20" ht="12.75">
      <c r="B39" s="118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2" t="s">
        <v>127</v>
      </c>
      <c r="P39" s="106" t="str">
        <f>"Видимые "&amp;ROWS($F$7:$F$16)&amp;" значений"</f>
        <v>Видимые 10 значений</v>
      </c>
      <c r="Q39" s="106"/>
      <c r="R39" s="114" t="s">
        <v>158</v>
      </c>
      <c r="S39" s="106" t="s">
        <v>162</v>
      </c>
      <c r="T39" s="125"/>
    </row>
    <row r="40" spans="2:20" ht="13.5" thickBot="1">
      <c r="B40" s="12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27"/>
    </row>
    <row r="43" spans="13:17" ht="14.25">
      <c r="M43" s="105"/>
      <c r="N43" s="106"/>
      <c r="O43" s="107"/>
      <c r="P43" s="108"/>
      <c r="Q43" s="106"/>
    </row>
    <row r="44" spans="13:17" ht="12.75">
      <c r="M44" s="109"/>
      <c r="N44" s="106"/>
      <c r="O44" s="107"/>
      <c r="P44" s="110"/>
      <c r="Q44" s="106"/>
    </row>
  </sheetData>
  <sheetProtection/>
  <mergeCells count="5">
    <mergeCell ref="E5:G5"/>
    <mergeCell ref="H5:J5"/>
    <mergeCell ref="K5:M5"/>
    <mergeCell ref="N5:P5"/>
    <mergeCell ref="Q5:S5"/>
  </mergeCells>
  <conditionalFormatting sqref="N7:N16">
    <cfRule type="expression" priority="12" dxfId="3">
      <formula>критерий_сортировки=4</formula>
    </cfRule>
    <cfRule type="cellIs" priority="16" dxfId="13" operator="lessThan">
      <formula>0</formula>
    </cfRule>
  </conditionalFormatting>
  <conditionalFormatting sqref="E7:G16">
    <cfRule type="expression" priority="15" dxfId="3">
      <formula>критерий_сортировки=1</formula>
    </cfRule>
  </conditionalFormatting>
  <conditionalFormatting sqref="H7:H16">
    <cfRule type="expression" priority="14" dxfId="3">
      <formula>критерий_сортировки=2</formula>
    </cfRule>
  </conditionalFormatting>
  <conditionalFormatting sqref="K7:K16">
    <cfRule type="expression" priority="13" dxfId="3">
      <formula>критерий_сортировки=3</formula>
    </cfRule>
  </conditionalFormatting>
  <conditionalFormatting sqref="Q7:Q16">
    <cfRule type="expression" priority="11" dxfId="3">
      <formula>критерий_сортировки=5</formula>
    </cfRule>
  </conditionalFormatting>
  <conditionalFormatting sqref="I7:J16">
    <cfRule type="expression" priority="6" dxfId="3">
      <formula>критерий_сортировки=2</formula>
    </cfRule>
  </conditionalFormatting>
  <conditionalFormatting sqref="L7:M16">
    <cfRule type="expression" priority="9" dxfId="3">
      <formula>критерий_сортировки=3</formula>
    </cfRule>
  </conditionalFormatting>
  <conditionalFormatting sqref="O7:P16">
    <cfRule type="cellIs" priority="2" dxfId="1" operator="equal">
      <formula>"◄+"</formula>
    </cfRule>
    <cfRule type="expression" priority="8" dxfId="3">
      <formula>критерий_сортировки=4</formula>
    </cfRule>
  </conditionalFormatting>
  <conditionalFormatting sqref="R7:S16">
    <cfRule type="cellIs" priority="3" dxfId="1" operator="equal">
      <formula>"◄+"</formula>
    </cfRule>
    <cfRule type="expression" priority="7" dxfId="3">
      <formula>критерий_сортировки=5</formula>
    </cfRule>
  </conditionalFormatting>
  <conditionalFormatting sqref="F7:G16">
    <cfRule type="cellIs" priority="4" dxfId="2" operator="equal">
      <formula>"◄+"</formula>
    </cfRule>
  </conditionalFormatting>
  <conditionalFormatting sqref="L7:M16 I7:J16">
    <cfRule type="cellIs" priority="1" dxfId="1" operator="equal">
      <formula>"◄+"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8"/>
  <sheetViews>
    <sheetView zoomScale="85" zoomScaleNormal="85" zoomScalePageLayoutView="0" workbookViewId="0" topLeftCell="A1">
      <selection activeCell="G7" sqref="G7"/>
    </sheetView>
  </sheetViews>
  <sheetFormatPr defaultColWidth="9.140625" defaultRowHeight="12.75"/>
  <cols>
    <col min="2" max="2" width="4.00390625" style="0" bestFit="1" customWidth="1"/>
    <col min="3" max="3" width="31.00390625" style="0" bestFit="1" customWidth="1"/>
  </cols>
  <sheetData>
    <row r="2" spans="3:4" ht="12.75">
      <c r="C2" t="s">
        <v>115</v>
      </c>
      <c r="D2" s="36">
        <v>0.9</v>
      </c>
    </row>
    <row r="3" spans="3:4" ht="12.75">
      <c r="C3" t="s">
        <v>116</v>
      </c>
      <c r="D3" s="36">
        <v>0.1</v>
      </c>
    </row>
    <row r="4" ht="12.75">
      <c r="D4" s="36"/>
    </row>
    <row r="5" spans="3:8" ht="12.75">
      <c r="C5" s="22"/>
      <c r="D5" s="57" t="s">
        <v>2</v>
      </c>
      <c r="E5" s="58" t="s">
        <v>3</v>
      </c>
      <c r="F5" s="58" t="s">
        <v>4</v>
      </c>
      <c r="G5" s="58" t="s">
        <v>5</v>
      </c>
      <c r="H5" s="58" t="s">
        <v>6</v>
      </c>
    </row>
    <row r="6" spans="3:8" ht="12.75">
      <c r="C6" s="22" t="s">
        <v>119</v>
      </c>
      <c r="D6" s="59">
        <v>500</v>
      </c>
      <c r="E6" s="58">
        <v>200</v>
      </c>
      <c r="F6" s="57">
        <v>0.5</v>
      </c>
      <c r="G6" s="58">
        <v>700</v>
      </c>
      <c r="H6" s="58">
        <v>400</v>
      </c>
    </row>
    <row r="8" spans="2:8" ht="13.5" thickBot="1">
      <c r="B8" s="8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</row>
    <row r="9" spans="2:8" ht="13.5" thickTop="1">
      <c r="B9" s="10">
        <v>1</v>
      </c>
      <c r="C9" s="11" t="s">
        <v>7</v>
      </c>
      <c r="D9" s="11">
        <v>284</v>
      </c>
      <c r="E9" s="11">
        <v>267</v>
      </c>
      <c r="F9" s="12">
        <v>0.28</v>
      </c>
      <c r="G9" s="11">
        <v>318</v>
      </c>
      <c r="H9" s="11">
        <v>348.83</v>
      </c>
    </row>
    <row r="10" spans="2:8" ht="12.75">
      <c r="B10" s="13">
        <v>2</v>
      </c>
      <c r="C10" s="14" t="s">
        <v>8</v>
      </c>
      <c r="D10" s="14">
        <v>170</v>
      </c>
      <c r="E10" s="14">
        <v>218</v>
      </c>
      <c r="F10" s="15">
        <v>0.86</v>
      </c>
      <c r="G10" s="14">
        <v>295</v>
      </c>
      <c r="H10" s="14">
        <v>734.27</v>
      </c>
    </row>
    <row r="11" spans="2:8" ht="12.75">
      <c r="B11" s="16">
        <v>3</v>
      </c>
      <c r="C11" s="17" t="s">
        <v>9</v>
      </c>
      <c r="D11" s="17">
        <v>760</v>
      </c>
      <c r="E11" s="17">
        <v>9</v>
      </c>
      <c r="F11" s="18">
        <v>0.95</v>
      </c>
      <c r="G11" s="17">
        <v>372</v>
      </c>
      <c r="H11" s="17">
        <v>503.34</v>
      </c>
    </row>
    <row r="12" spans="2:8" ht="12.75">
      <c r="B12" s="13">
        <v>4</v>
      </c>
      <c r="C12" s="14" t="s">
        <v>10</v>
      </c>
      <c r="D12" s="14">
        <v>366</v>
      </c>
      <c r="E12" s="14">
        <v>388</v>
      </c>
      <c r="F12" s="15">
        <v>0.35</v>
      </c>
      <c r="G12" s="14">
        <v>578</v>
      </c>
      <c r="H12" s="14">
        <v>367.9</v>
      </c>
    </row>
    <row r="13" spans="2:8" ht="12.75">
      <c r="B13" s="16">
        <v>5</v>
      </c>
      <c r="C13" s="17" t="s">
        <v>11</v>
      </c>
      <c r="D13" s="17">
        <v>1345</v>
      </c>
      <c r="E13" s="17">
        <v>130</v>
      </c>
      <c r="F13" s="18">
        <v>0.58</v>
      </c>
      <c r="G13" s="17">
        <v>352</v>
      </c>
      <c r="H13" s="17">
        <v>477.47</v>
      </c>
    </row>
    <row r="14" spans="2:8" ht="12.75">
      <c r="B14" s="13">
        <v>6</v>
      </c>
      <c r="C14" s="14" t="s">
        <v>12</v>
      </c>
      <c r="D14" s="14">
        <v>790</v>
      </c>
      <c r="E14" s="14">
        <v>181</v>
      </c>
      <c r="F14" s="15">
        <v>0.97</v>
      </c>
      <c r="G14" s="14">
        <v>295</v>
      </c>
      <c r="H14" s="14">
        <v>678.05</v>
      </c>
    </row>
    <row r="15" spans="2:8" ht="12.75">
      <c r="B15" s="16">
        <v>7</v>
      </c>
      <c r="C15" s="17" t="s">
        <v>13</v>
      </c>
      <c r="D15" s="17">
        <v>1269</v>
      </c>
      <c r="E15" s="17">
        <v>319</v>
      </c>
      <c r="F15" s="18">
        <v>0.78</v>
      </c>
      <c r="G15" s="17">
        <v>285</v>
      </c>
      <c r="H15" s="17">
        <v>373.29</v>
      </c>
    </row>
    <row r="16" spans="2:8" ht="12.75">
      <c r="B16" s="13">
        <v>8</v>
      </c>
      <c r="C16" s="14" t="s">
        <v>14</v>
      </c>
      <c r="D16" s="14">
        <v>107</v>
      </c>
      <c r="E16" s="14">
        <v>16</v>
      </c>
      <c r="F16" s="15">
        <v>0.59</v>
      </c>
      <c r="G16" s="14">
        <v>280</v>
      </c>
      <c r="H16" s="14">
        <v>532.21</v>
      </c>
    </row>
    <row r="17" spans="2:8" ht="12.75">
      <c r="B17" s="16">
        <v>9</v>
      </c>
      <c r="C17" s="17" t="s">
        <v>15</v>
      </c>
      <c r="D17" s="17">
        <v>501</v>
      </c>
      <c r="E17" s="17">
        <v>486</v>
      </c>
      <c r="F17" s="18">
        <v>0.56</v>
      </c>
      <c r="G17" s="17">
        <v>464</v>
      </c>
      <c r="H17" s="17">
        <v>265</v>
      </c>
    </row>
    <row r="18" spans="2:8" ht="12.75">
      <c r="B18" s="13">
        <v>10</v>
      </c>
      <c r="C18" s="14" t="s">
        <v>16</v>
      </c>
      <c r="D18" s="14">
        <v>953</v>
      </c>
      <c r="E18" s="14">
        <v>259</v>
      </c>
      <c r="F18" s="15">
        <v>0.05</v>
      </c>
      <c r="G18" s="14">
        <v>260</v>
      </c>
      <c r="H18" s="14">
        <v>855.81</v>
      </c>
    </row>
    <row r="19" spans="2:8" ht="12.75">
      <c r="B19" s="16">
        <v>11</v>
      </c>
      <c r="C19" s="17" t="s">
        <v>17</v>
      </c>
      <c r="D19" s="17">
        <v>783</v>
      </c>
      <c r="E19" s="17">
        <v>299</v>
      </c>
      <c r="F19" s="18">
        <v>0.18</v>
      </c>
      <c r="G19" s="17">
        <v>711</v>
      </c>
      <c r="H19" s="17">
        <v>649.79</v>
      </c>
    </row>
    <row r="20" spans="2:8" ht="12.75">
      <c r="B20" s="13">
        <v>12</v>
      </c>
      <c r="C20" s="14" t="s">
        <v>18</v>
      </c>
      <c r="D20" s="14">
        <v>669</v>
      </c>
      <c r="E20" s="14">
        <v>124</v>
      </c>
      <c r="F20" s="15">
        <v>0.22</v>
      </c>
      <c r="G20" s="14">
        <v>609</v>
      </c>
      <c r="H20" s="14">
        <v>983.54</v>
      </c>
    </row>
    <row r="21" spans="2:8" ht="12.75">
      <c r="B21" s="16">
        <v>13</v>
      </c>
      <c r="C21" s="17" t="s">
        <v>19</v>
      </c>
      <c r="D21" s="17">
        <v>447</v>
      </c>
      <c r="E21" s="17">
        <v>489</v>
      </c>
      <c r="F21" s="18">
        <v>0.13</v>
      </c>
      <c r="G21" s="17">
        <v>352</v>
      </c>
      <c r="H21" s="17">
        <v>141.18</v>
      </c>
    </row>
    <row r="22" spans="2:8" ht="12.75">
      <c r="B22" s="13">
        <v>14</v>
      </c>
      <c r="C22" s="14" t="s">
        <v>20</v>
      </c>
      <c r="D22" s="14">
        <v>682</v>
      </c>
      <c r="E22" s="14">
        <v>417</v>
      </c>
      <c r="F22" s="15">
        <v>0.41</v>
      </c>
      <c r="G22" s="14">
        <v>330</v>
      </c>
      <c r="H22" s="14">
        <v>404.07</v>
      </c>
    </row>
    <row r="23" spans="2:8" ht="12.75">
      <c r="B23" s="16">
        <v>15</v>
      </c>
      <c r="C23" s="17" t="s">
        <v>21</v>
      </c>
      <c r="D23" s="17">
        <v>807</v>
      </c>
      <c r="E23" s="17">
        <v>77</v>
      </c>
      <c r="F23" s="18">
        <v>0.91</v>
      </c>
      <c r="G23" s="17">
        <v>643</v>
      </c>
      <c r="H23" s="17">
        <v>180.39</v>
      </c>
    </row>
    <row r="24" spans="2:8" ht="12.75">
      <c r="B24" s="13">
        <v>16</v>
      </c>
      <c r="C24" s="14" t="s">
        <v>22</v>
      </c>
      <c r="D24" s="14">
        <v>1180</v>
      </c>
      <c r="E24" s="14">
        <v>267</v>
      </c>
      <c r="F24" s="15">
        <v>0.43</v>
      </c>
      <c r="G24" s="14">
        <v>318</v>
      </c>
      <c r="H24" s="14">
        <v>887.77</v>
      </c>
    </row>
    <row r="25" spans="2:8" ht="12.75">
      <c r="B25" s="16">
        <v>17</v>
      </c>
      <c r="C25" s="17" t="s">
        <v>23</v>
      </c>
      <c r="D25" s="17">
        <v>725</v>
      </c>
      <c r="E25" s="17">
        <v>172</v>
      </c>
      <c r="F25" s="18">
        <v>0.57</v>
      </c>
      <c r="G25" s="17">
        <v>540</v>
      </c>
      <c r="H25" s="17">
        <v>10.18</v>
      </c>
    </row>
    <row r="26" spans="2:8" ht="12.75">
      <c r="B26" s="13">
        <v>18</v>
      </c>
      <c r="C26" s="14" t="s">
        <v>24</v>
      </c>
      <c r="D26" s="14">
        <v>522</v>
      </c>
      <c r="E26" s="14">
        <v>227</v>
      </c>
      <c r="F26" s="15">
        <v>0.22</v>
      </c>
      <c r="G26" s="14">
        <v>669</v>
      </c>
      <c r="H26" s="14">
        <v>775.1</v>
      </c>
    </row>
    <row r="27" spans="2:8" ht="12.75">
      <c r="B27" s="16">
        <v>19</v>
      </c>
      <c r="C27" s="17" t="s">
        <v>25</v>
      </c>
      <c r="D27" s="17">
        <v>1350</v>
      </c>
      <c r="E27" s="17">
        <v>398</v>
      </c>
      <c r="F27" s="18">
        <v>0.68</v>
      </c>
      <c r="G27" s="17">
        <v>677</v>
      </c>
      <c r="H27" s="17">
        <v>411.09</v>
      </c>
    </row>
    <row r="28" spans="2:8" ht="12.75">
      <c r="B28" s="13">
        <v>20</v>
      </c>
      <c r="C28" s="14" t="s">
        <v>26</v>
      </c>
      <c r="D28" s="14">
        <v>1163</v>
      </c>
      <c r="E28" s="14">
        <v>168</v>
      </c>
      <c r="F28" s="15">
        <v>0.08</v>
      </c>
      <c r="G28" s="14">
        <v>610</v>
      </c>
      <c r="H28" s="14">
        <v>807.26</v>
      </c>
    </row>
    <row r="29" spans="2:8" ht="12.75">
      <c r="B29" s="16">
        <v>21</v>
      </c>
      <c r="C29" s="17" t="s">
        <v>27</v>
      </c>
      <c r="D29" s="17">
        <v>830</v>
      </c>
      <c r="E29" s="17">
        <v>264</v>
      </c>
      <c r="F29" s="18">
        <v>0.1</v>
      </c>
      <c r="G29" s="17">
        <v>396</v>
      </c>
      <c r="H29" s="17">
        <v>85.84</v>
      </c>
    </row>
    <row r="30" spans="2:8" ht="12.75">
      <c r="B30" s="13">
        <v>22</v>
      </c>
      <c r="C30" s="14" t="s">
        <v>28</v>
      </c>
      <c r="D30" s="14">
        <v>1195</v>
      </c>
      <c r="E30" s="14">
        <v>199</v>
      </c>
      <c r="F30" s="15">
        <v>0.92</v>
      </c>
      <c r="G30" s="14">
        <v>439</v>
      </c>
      <c r="H30" s="14">
        <v>209.94</v>
      </c>
    </row>
    <row r="31" spans="2:8" ht="12.75">
      <c r="B31" s="16">
        <v>23</v>
      </c>
      <c r="C31" s="17" t="s">
        <v>29</v>
      </c>
      <c r="D31" s="17">
        <v>482</v>
      </c>
      <c r="E31" s="17">
        <v>116</v>
      </c>
      <c r="F31" s="18">
        <v>0.71</v>
      </c>
      <c r="G31" s="17">
        <v>425</v>
      </c>
      <c r="H31" s="17">
        <v>337.36</v>
      </c>
    </row>
    <row r="32" spans="2:8" ht="12.75">
      <c r="B32" s="13">
        <v>24</v>
      </c>
      <c r="C32" s="14" t="s">
        <v>30</v>
      </c>
      <c r="D32" s="14">
        <v>1024</v>
      </c>
      <c r="E32" s="14">
        <v>176</v>
      </c>
      <c r="F32" s="15">
        <v>0.35</v>
      </c>
      <c r="G32" s="14">
        <v>268</v>
      </c>
      <c r="H32" s="14">
        <v>242.52</v>
      </c>
    </row>
    <row r="33" spans="2:8" ht="12.75">
      <c r="B33" s="16">
        <v>25</v>
      </c>
      <c r="C33" s="17" t="s">
        <v>31</v>
      </c>
      <c r="D33" s="17">
        <v>1339</v>
      </c>
      <c r="E33" s="17">
        <v>379</v>
      </c>
      <c r="F33" s="18">
        <v>0.98</v>
      </c>
      <c r="G33" s="17">
        <v>494</v>
      </c>
      <c r="H33" s="17">
        <v>336.15</v>
      </c>
    </row>
    <row r="34" spans="2:8" ht="12.75">
      <c r="B34" s="13">
        <v>26</v>
      </c>
      <c r="C34" s="14" t="s">
        <v>32</v>
      </c>
      <c r="D34" s="14">
        <v>958</v>
      </c>
      <c r="E34" s="14">
        <v>206</v>
      </c>
      <c r="F34" s="15">
        <v>0.1</v>
      </c>
      <c r="G34" s="14">
        <v>443</v>
      </c>
      <c r="H34" s="14">
        <v>717.43</v>
      </c>
    </row>
    <row r="35" spans="2:8" ht="12.75">
      <c r="B35" s="16">
        <v>27</v>
      </c>
      <c r="C35" s="17" t="s">
        <v>33</v>
      </c>
      <c r="D35" s="17">
        <v>1153</v>
      </c>
      <c r="E35" s="17">
        <v>250</v>
      </c>
      <c r="F35" s="18">
        <v>0.57</v>
      </c>
      <c r="G35" s="17">
        <v>576</v>
      </c>
      <c r="H35" s="17">
        <v>7.33</v>
      </c>
    </row>
    <row r="36" spans="2:8" ht="12.75">
      <c r="B36" s="13">
        <v>28</v>
      </c>
      <c r="C36" s="14" t="s">
        <v>34</v>
      </c>
      <c r="D36" s="14">
        <v>136</v>
      </c>
      <c r="E36" s="14">
        <v>57</v>
      </c>
      <c r="F36" s="15">
        <v>0.07</v>
      </c>
      <c r="G36" s="14">
        <v>607</v>
      </c>
      <c r="H36" s="14">
        <v>985.32</v>
      </c>
    </row>
    <row r="37" spans="2:8" ht="12.75">
      <c r="B37" s="16">
        <v>29</v>
      </c>
      <c r="C37" s="17" t="s">
        <v>35</v>
      </c>
      <c r="D37" s="17">
        <v>923</v>
      </c>
      <c r="E37" s="17">
        <v>116</v>
      </c>
      <c r="F37" s="18">
        <v>0.61</v>
      </c>
      <c r="G37" s="17">
        <v>622</v>
      </c>
      <c r="H37" s="17">
        <v>386.26</v>
      </c>
    </row>
    <row r="38" spans="2:8" ht="12.75">
      <c r="B38" s="13">
        <v>30</v>
      </c>
      <c r="C38" s="14" t="s">
        <v>36</v>
      </c>
      <c r="D38" s="14">
        <v>252</v>
      </c>
      <c r="E38" s="14">
        <v>439</v>
      </c>
      <c r="F38" s="15">
        <v>0.07</v>
      </c>
      <c r="G38" s="14">
        <v>289</v>
      </c>
      <c r="H38" s="14">
        <v>0.33</v>
      </c>
    </row>
    <row r="39" spans="2:8" ht="12.75">
      <c r="B39" s="16">
        <v>31</v>
      </c>
      <c r="C39" s="17" t="s">
        <v>37</v>
      </c>
      <c r="D39" s="17">
        <v>1270</v>
      </c>
      <c r="E39" s="17">
        <v>64</v>
      </c>
      <c r="F39" s="18">
        <v>0.53</v>
      </c>
      <c r="G39" s="17">
        <v>487</v>
      </c>
      <c r="H39" s="17">
        <v>259.52</v>
      </c>
    </row>
    <row r="40" spans="2:8" ht="12.75">
      <c r="B40" s="13">
        <v>32</v>
      </c>
      <c r="C40" s="14" t="s">
        <v>38</v>
      </c>
      <c r="D40" s="14">
        <v>880</v>
      </c>
      <c r="E40" s="14">
        <v>12</v>
      </c>
      <c r="F40" s="15">
        <v>0.9</v>
      </c>
      <c r="G40" s="14">
        <v>395</v>
      </c>
      <c r="H40" s="14">
        <v>915.26</v>
      </c>
    </row>
    <row r="41" spans="2:8" ht="12.75">
      <c r="B41" s="16">
        <v>33</v>
      </c>
      <c r="C41" s="17" t="s">
        <v>39</v>
      </c>
      <c r="D41" s="17">
        <v>1330</v>
      </c>
      <c r="E41" s="17">
        <v>385</v>
      </c>
      <c r="F41" s="18">
        <v>0.25</v>
      </c>
      <c r="G41" s="17">
        <v>550</v>
      </c>
      <c r="H41" s="17">
        <v>117.46</v>
      </c>
    </row>
    <row r="42" spans="2:8" ht="12.75">
      <c r="B42" s="13">
        <v>34</v>
      </c>
      <c r="C42" s="14" t="s">
        <v>40</v>
      </c>
      <c r="D42" s="14">
        <v>255</v>
      </c>
      <c r="E42" s="14">
        <v>128</v>
      </c>
      <c r="F42" s="15">
        <v>0.87</v>
      </c>
      <c r="G42" s="14">
        <v>644</v>
      </c>
      <c r="H42" s="14">
        <v>191.33</v>
      </c>
    </row>
    <row r="43" spans="2:8" ht="12.75">
      <c r="B43" s="16">
        <v>35</v>
      </c>
      <c r="C43" s="17" t="s">
        <v>41</v>
      </c>
      <c r="D43" s="17">
        <v>253</v>
      </c>
      <c r="E43" s="17">
        <v>266</v>
      </c>
      <c r="F43" s="18">
        <v>0.19</v>
      </c>
      <c r="G43" s="17">
        <v>706</v>
      </c>
      <c r="H43" s="17">
        <v>982.91</v>
      </c>
    </row>
    <row r="44" spans="2:8" ht="12.75">
      <c r="B44" s="13">
        <v>36</v>
      </c>
      <c r="C44" s="14" t="s">
        <v>42</v>
      </c>
      <c r="D44" s="14">
        <v>1407</v>
      </c>
      <c r="E44" s="14">
        <v>302</v>
      </c>
      <c r="F44" s="15">
        <v>0.02</v>
      </c>
      <c r="G44" s="14">
        <v>634</v>
      </c>
      <c r="H44" s="14">
        <v>178.96</v>
      </c>
    </row>
    <row r="45" spans="2:8" ht="12.75">
      <c r="B45" s="16">
        <v>37</v>
      </c>
      <c r="C45" s="17" t="s">
        <v>43</v>
      </c>
      <c r="D45" s="17">
        <v>359</v>
      </c>
      <c r="E45" s="17">
        <v>269</v>
      </c>
      <c r="F45" s="18">
        <v>0.7</v>
      </c>
      <c r="G45" s="17">
        <v>571</v>
      </c>
      <c r="H45" s="17">
        <v>93.66</v>
      </c>
    </row>
    <row r="46" spans="2:8" ht="12.75">
      <c r="B46" s="13">
        <v>38</v>
      </c>
      <c r="C46" s="14" t="s">
        <v>44</v>
      </c>
      <c r="D46" s="14">
        <v>1084</v>
      </c>
      <c r="E46" s="14">
        <v>267</v>
      </c>
      <c r="F46" s="15">
        <v>0.13</v>
      </c>
      <c r="G46" s="14">
        <v>432</v>
      </c>
      <c r="H46" s="14">
        <v>67.7</v>
      </c>
    </row>
    <row r="47" spans="2:8" ht="12.75">
      <c r="B47" s="16">
        <v>39</v>
      </c>
      <c r="C47" s="17" t="s">
        <v>45</v>
      </c>
      <c r="D47" s="17">
        <v>1403</v>
      </c>
      <c r="E47" s="17">
        <v>347</v>
      </c>
      <c r="F47" s="18">
        <v>0.61</v>
      </c>
      <c r="G47" s="17">
        <v>671</v>
      </c>
      <c r="H47" s="17">
        <v>206.15</v>
      </c>
    </row>
    <row r="48" spans="2:8" ht="12.75">
      <c r="B48" s="13">
        <v>40</v>
      </c>
      <c r="C48" s="14" t="s">
        <v>46</v>
      </c>
      <c r="D48" s="14">
        <v>297</v>
      </c>
      <c r="E48" s="14">
        <v>65</v>
      </c>
      <c r="F48" s="15">
        <v>0.44</v>
      </c>
      <c r="G48" s="14">
        <v>334</v>
      </c>
      <c r="H48" s="14">
        <v>53.51</v>
      </c>
    </row>
    <row r="49" spans="2:8" ht="12.75">
      <c r="B49" s="16">
        <v>41</v>
      </c>
      <c r="C49" s="17" t="s">
        <v>47</v>
      </c>
      <c r="D49" s="17">
        <v>767</v>
      </c>
      <c r="E49" s="17">
        <v>380</v>
      </c>
      <c r="F49" s="18">
        <v>0.86</v>
      </c>
      <c r="G49" s="17">
        <v>559</v>
      </c>
      <c r="H49" s="17">
        <v>517.96</v>
      </c>
    </row>
    <row r="50" spans="2:8" ht="12.75">
      <c r="B50" s="13">
        <v>42</v>
      </c>
      <c r="C50" s="14" t="s">
        <v>48</v>
      </c>
      <c r="D50" s="14">
        <v>1338</v>
      </c>
      <c r="E50" s="14">
        <v>261</v>
      </c>
      <c r="F50" s="15">
        <v>0.86</v>
      </c>
      <c r="G50" s="14">
        <v>648</v>
      </c>
      <c r="H50" s="14">
        <v>218.2</v>
      </c>
    </row>
    <row r="51" spans="2:8" ht="12.75">
      <c r="B51" s="16">
        <v>43</v>
      </c>
      <c r="C51" s="17" t="s">
        <v>49</v>
      </c>
      <c r="D51" s="17">
        <v>180</v>
      </c>
      <c r="E51" s="17">
        <v>478</v>
      </c>
      <c r="F51" s="18">
        <v>0.67</v>
      </c>
      <c r="G51" s="17">
        <v>639</v>
      </c>
      <c r="H51" s="17">
        <v>514.29</v>
      </c>
    </row>
    <row r="52" spans="2:8" ht="12.75">
      <c r="B52" s="13">
        <v>44</v>
      </c>
      <c r="C52" s="14" t="s">
        <v>50</v>
      </c>
      <c r="D52" s="14">
        <v>419</v>
      </c>
      <c r="E52" s="14">
        <v>398</v>
      </c>
      <c r="F52" s="15">
        <v>0.51</v>
      </c>
      <c r="G52" s="14">
        <v>316</v>
      </c>
      <c r="H52" s="14">
        <v>153.76</v>
      </c>
    </row>
    <row r="53" spans="2:8" ht="12.75">
      <c r="B53" s="16">
        <v>45</v>
      </c>
      <c r="C53" s="17" t="s">
        <v>51</v>
      </c>
      <c r="D53" s="17">
        <v>905</v>
      </c>
      <c r="E53" s="17">
        <v>84</v>
      </c>
      <c r="F53" s="18">
        <v>0.22</v>
      </c>
      <c r="G53" s="17">
        <v>704</v>
      </c>
      <c r="H53" s="17">
        <v>101.97</v>
      </c>
    </row>
    <row r="54" spans="2:8" ht="12.75">
      <c r="B54" s="13">
        <v>46</v>
      </c>
      <c r="C54" s="14" t="s">
        <v>52</v>
      </c>
      <c r="D54" s="14">
        <v>673</v>
      </c>
      <c r="E54" s="14">
        <v>352</v>
      </c>
      <c r="F54" s="15">
        <v>0.11</v>
      </c>
      <c r="G54" s="14">
        <v>420</v>
      </c>
      <c r="H54" s="14">
        <v>568.95</v>
      </c>
    </row>
    <row r="55" spans="2:8" ht="12.75">
      <c r="B55" s="16">
        <v>47</v>
      </c>
      <c r="C55" s="17" t="s">
        <v>53</v>
      </c>
      <c r="D55" s="17">
        <v>1204</v>
      </c>
      <c r="E55" s="17">
        <v>227</v>
      </c>
      <c r="F55" s="18">
        <v>0.16</v>
      </c>
      <c r="G55" s="17">
        <v>454</v>
      </c>
      <c r="H55" s="17">
        <v>973.82</v>
      </c>
    </row>
    <row r="56" spans="2:8" ht="12.75">
      <c r="B56" s="13">
        <v>48</v>
      </c>
      <c r="C56" s="14" t="s">
        <v>54</v>
      </c>
      <c r="D56" s="14">
        <v>678</v>
      </c>
      <c r="E56" s="14">
        <v>129</v>
      </c>
      <c r="F56" s="15">
        <v>0.86</v>
      </c>
      <c r="G56" s="14">
        <v>538</v>
      </c>
      <c r="H56" s="14">
        <v>793.37</v>
      </c>
    </row>
    <row r="57" spans="2:8" ht="12.75">
      <c r="B57" s="16">
        <v>49</v>
      </c>
      <c r="C57" s="17" t="s">
        <v>55</v>
      </c>
      <c r="D57" s="17">
        <v>389</v>
      </c>
      <c r="E57" s="17">
        <v>257</v>
      </c>
      <c r="F57" s="18">
        <v>0.24</v>
      </c>
      <c r="G57" s="17">
        <v>437</v>
      </c>
      <c r="H57" s="17">
        <v>948.59</v>
      </c>
    </row>
    <row r="58" spans="2:8" ht="12.75">
      <c r="B58" s="13">
        <v>50</v>
      </c>
      <c r="C58" s="14" t="s">
        <v>56</v>
      </c>
      <c r="D58" s="14">
        <v>394</v>
      </c>
      <c r="E58" s="14">
        <v>405</v>
      </c>
      <c r="F58" s="15">
        <v>0.1</v>
      </c>
      <c r="G58" s="14">
        <v>587</v>
      </c>
      <c r="H58" s="14">
        <v>516.88</v>
      </c>
    </row>
    <row r="59" spans="2:8" ht="12.75">
      <c r="B59" s="16">
        <v>51</v>
      </c>
      <c r="C59" s="17" t="s">
        <v>57</v>
      </c>
      <c r="D59" s="17">
        <v>120</v>
      </c>
      <c r="E59" s="17">
        <v>64</v>
      </c>
      <c r="F59" s="18">
        <v>0.46</v>
      </c>
      <c r="G59" s="17">
        <v>274</v>
      </c>
      <c r="H59" s="17">
        <v>880.23</v>
      </c>
    </row>
    <row r="60" spans="2:8" ht="12.75">
      <c r="B60" s="13">
        <v>52</v>
      </c>
      <c r="C60" s="14" t="s">
        <v>58</v>
      </c>
      <c r="D60" s="14">
        <v>305</v>
      </c>
      <c r="E60" s="14">
        <v>277</v>
      </c>
      <c r="F60" s="15">
        <v>0.22</v>
      </c>
      <c r="G60" s="14">
        <v>597</v>
      </c>
      <c r="H60" s="14">
        <v>136.75</v>
      </c>
    </row>
    <row r="61" spans="2:8" ht="12.75">
      <c r="B61" s="16">
        <v>53</v>
      </c>
      <c r="C61" s="17" t="s">
        <v>59</v>
      </c>
      <c r="D61" s="17">
        <v>1108</v>
      </c>
      <c r="E61" s="17">
        <v>5</v>
      </c>
      <c r="F61" s="18">
        <v>0.37</v>
      </c>
      <c r="G61" s="17">
        <v>339</v>
      </c>
      <c r="H61" s="17">
        <v>992.41</v>
      </c>
    </row>
    <row r="62" spans="2:8" ht="12.75">
      <c r="B62" s="13">
        <v>54</v>
      </c>
      <c r="C62" s="14" t="s">
        <v>60</v>
      </c>
      <c r="D62" s="14">
        <v>295</v>
      </c>
      <c r="E62" s="14">
        <v>338</v>
      </c>
      <c r="F62" s="15">
        <v>0.91</v>
      </c>
      <c r="G62" s="14">
        <v>585</v>
      </c>
      <c r="H62" s="14">
        <v>960.61</v>
      </c>
    </row>
    <row r="63" spans="2:8" ht="12.75">
      <c r="B63" s="16">
        <v>55</v>
      </c>
      <c r="C63" s="17" t="s">
        <v>61</v>
      </c>
      <c r="D63" s="17">
        <v>143</v>
      </c>
      <c r="E63" s="17">
        <v>90</v>
      </c>
      <c r="F63" s="18">
        <v>0.42</v>
      </c>
      <c r="G63" s="17">
        <v>449</v>
      </c>
      <c r="H63" s="17">
        <v>34.5</v>
      </c>
    </row>
    <row r="64" spans="2:8" ht="12.75">
      <c r="B64" s="13">
        <v>56</v>
      </c>
      <c r="C64" s="14" t="s">
        <v>62</v>
      </c>
      <c r="D64" s="14">
        <v>891</v>
      </c>
      <c r="E64" s="14">
        <v>339</v>
      </c>
      <c r="F64" s="15">
        <v>0.92</v>
      </c>
      <c r="G64" s="14">
        <v>410</v>
      </c>
      <c r="H64" s="14">
        <v>514.92</v>
      </c>
    </row>
    <row r="65" spans="2:8" ht="12.75">
      <c r="B65" s="16">
        <v>57</v>
      </c>
      <c r="C65" s="17" t="s">
        <v>63</v>
      </c>
      <c r="D65" s="17">
        <v>445</v>
      </c>
      <c r="E65" s="17">
        <v>396</v>
      </c>
      <c r="F65" s="18">
        <v>0.56</v>
      </c>
      <c r="G65" s="17">
        <v>388</v>
      </c>
      <c r="H65" s="17">
        <v>369.97</v>
      </c>
    </row>
    <row r="66" spans="2:8" ht="12.75">
      <c r="B66" s="13">
        <v>58</v>
      </c>
      <c r="C66" s="14" t="s">
        <v>64</v>
      </c>
      <c r="D66" s="14">
        <v>284</v>
      </c>
      <c r="E66" s="14">
        <v>286</v>
      </c>
      <c r="F66" s="15">
        <v>0.62</v>
      </c>
      <c r="G66" s="14">
        <v>668</v>
      </c>
      <c r="H66" s="14">
        <v>574.32</v>
      </c>
    </row>
    <row r="67" spans="2:8" ht="12.75">
      <c r="B67" s="16">
        <v>59</v>
      </c>
      <c r="C67" s="17" t="s">
        <v>65</v>
      </c>
      <c r="D67" s="17">
        <v>154</v>
      </c>
      <c r="E67" s="17">
        <v>121</v>
      </c>
      <c r="F67" s="18">
        <v>0.83</v>
      </c>
      <c r="G67" s="17">
        <v>463</v>
      </c>
      <c r="H67" s="17">
        <v>79.95</v>
      </c>
    </row>
    <row r="68" spans="2:8" ht="12.75">
      <c r="B68" s="13">
        <v>60</v>
      </c>
      <c r="C68" s="14" t="s">
        <v>66</v>
      </c>
      <c r="D68" s="14">
        <v>175</v>
      </c>
      <c r="E68" s="14">
        <v>293</v>
      </c>
      <c r="F68" s="15">
        <v>0.67</v>
      </c>
      <c r="G68" s="14">
        <v>704</v>
      </c>
      <c r="H68" s="14">
        <v>147.34</v>
      </c>
    </row>
    <row r="69" spans="2:8" ht="12.75">
      <c r="B69" s="16">
        <v>61</v>
      </c>
      <c r="C69" s="17" t="s">
        <v>67</v>
      </c>
      <c r="D69" s="17">
        <v>671</v>
      </c>
      <c r="E69" s="17">
        <v>488</v>
      </c>
      <c r="F69" s="18">
        <v>0.64</v>
      </c>
      <c r="G69" s="17">
        <v>342</v>
      </c>
      <c r="H69" s="17">
        <v>622.22</v>
      </c>
    </row>
    <row r="70" spans="2:8" ht="12.75">
      <c r="B70" s="13">
        <v>62</v>
      </c>
      <c r="C70" s="14" t="s">
        <v>68</v>
      </c>
      <c r="D70" s="14">
        <v>266</v>
      </c>
      <c r="E70" s="14">
        <v>18</v>
      </c>
      <c r="F70" s="15">
        <v>0.54</v>
      </c>
      <c r="G70" s="14">
        <v>703</v>
      </c>
      <c r="H70" s="14">
        <v>973.22</v>
      </c>
    </row>
    <row r="71" spans="2:8" ht="12.75">
      <c r="B71" s="16">
        <v>63</v>
      </c>
      <c r="C71" s="17" t="s">
        <v>69</v>
      </c>
      <c r="D71" s="17">
        <v>611</v>
      </c>
      <c r="E71" s="17">
        <v>429</v>
      </c>
      <c r="F71" s="18">
        <v>0.35</v>
      </c>
      <c r="G71" s="17">
        <v>615</v>
      </c>
      <c r="H71" s="17">
        <v>166.92</v>
      </c>
    </row>
    <row r="72" spans="2:8" ht="12.75">
      <c r="B72" s="13">
        <v>64</v>
      </c>
      <c r="C72" s="14" t="s">
        <v>70</v>
      </c>
      <c r="D72" s="14">
        <v>259</v>
      </c>
      <c r="E72" s="14">
        <v>42</v>
      </c>
      <c r="F72" s="15">
        <v>0.28</v>
      </c>
      <c r="G72" s="14">
        <v>263</v>
      </c>
      <c r="H72" s="14">
        <v>728.32</v>
      </c>
    </row>
    <row r="73" spans="2:8" ht="12.75">
      <c r="B73" s="16">
        <v>65</v>
      </c>
      <c r="C73" s="17" t="s">
        <v>71</v>
      </c>
      <c r="D73" s="17">
        <v>1368</v>
      </c>
      <c r="E73" s="17">
        <v>188</v>
      </c>
      <c r="F73" s="18">
        <v>0.28</v>
      </c>
      <c r="G73" s="17">
        <v>539</v>
      </c>
      <c r="H73" s="17">
        <v>876.31</v>
      </c>
    </row>
    <row r="74" spans="2:8" ht="12.75">
      <c r="B74" s="13">
        <v>66</v>
      </c>
      <c r="C74" s="14" t="s">
        <v>72</v>
      </c>
      <c r="D74" s="14">
        <v>592</v>
      </c>
      <c r="E74" s="14">
        <v>253</v>
      </c>
      <c r="F74" s="15">
        <v>0.74</v>
      </c>
      <c r="G74" s="14">
        <v>496</v>
      </c>
      <c r="H74" s="14">
        <v>621.81</v>
      </c>
    </row>
    <row r="75" spans="2:8" ht="12.75">
      <c r="B75" s="16">
        <v>67</v>
      </c>
      <c r="C75" s="17" t="s">
        <v>73</v>
      </c>
      <c r="D75" s="17">
        <v>870</v>
      </c>
      <c r="E75" s="17">
        <v>73</v>
      </c>
      <c r="F75" s="18">
        <v>0.08</v>
      </c>
      <c r="G75" s="17">
        <v>509</v>
      </c>
      <c r="H75" s="17">
        <v>541.55</v>
      </c>
    </row>
    <row r="76" spans="2:8" ht="12.75">
      <c r="B76" s="13">
        <v>68</v>
      </c>
      <c r="C76" s="14" t="s">
        <v>74</v>
      </c>
      <c r="D76" s="14">
        <v>1236</v>
      </c>
      <c r="E76" s="14">
        <v>154</v>
      </c>
      <c r="F76" s="15">
        <v>0.42</v>
      </c>
      <c r="G76" s="14">
        <v>672</v>
      </c>
      <c r="H76" s="14">
        <v>729.28</v>
      </c>
    </row>
    <row r="77" spans="2:8" ht="12.75">
      <c r="B77" s="16">
        <v>69</v>
      </c>
      <c r="C77" s="17" t="s">
        <v>75</v>
      </c>
      <c r="D77" s="17">
        <v>187</v>
      </c>
      <c r="E77" s="17">
        <v>392</v>
      </c>
      <c r="F77" s="18">
        <v>0.98</v>
      </c>
      <c r="G77" s="17">
        <v>655</v>
      </c>
      <c r="H77" s="17">
        <v>609.45</v>
      </c>
    </row>
    <row r="78" spans="2:8" ht="12.75">
      <c r="B78" s="13">
        <v>70</v>
      </c>
      <c r="C78" s="14" t="s">
        <v>76</v>
      </c>
      <c r="D78" s="14">
        <v>357</v>
      </c>
      <c r="E78" s="14">
        <v>345</v>
      </c>
      <c r="F78" s="15">
        <v>0.72</v>
      </c>
      <c r="G78" s="14">
        <v>641</v>
      </c>
      <c r="H78" s="14">
        <v>449</v>
      </c>
    </row>
    <row r="79" spans="2:8" ht="12.75">
      <c r="B79" s="16">
        <v>71</v>
      </c>
      <c r="C79" s="17" t="s">
        <v>77</v>
      </c>
      <c r="D79" s="17">
        <v>431</v>
      </c>
      <c r="E79" s="17">
        <v>234</v>
      </c>
      <c r="F79" s="18">
        <v>0.59</v>
      </c>
      <c r="G79" s="17">
        <v>507</v>
      </c>
      <c r="H79" s="17">
        <v>3.23</v>
      </c>
    </row>
    <row r="80" spans="2:8" ht="12.75">
      <c r="B80" s="13">
        <v>72</v>
      </c>
      <c r="C80" s="14" t="s">
        <v>78</v>
      </c>
      <c r="D80" s="14">
        <v>793</v>
      </c>
      <c r="E80" s="14">
        <v>301</v>
      </c>
      <c r="F80" s="15">
        <v>0.81</v>
      </c>
      <c r="G80" s="14">
        <v>636</v>
      </c>
      <c r="H80" s="14">
        <v>441.91</v>
      </c>
    </row>
    <row r="81" spans="2:8" ht="12.75">
      <c r="B81" s="16">
        <v>73</v>
      </c>
      <c r="C81" s="17" t="s">
        <v>79</v>
      </c>
      <c r="D81" s="17">
        <v>350</v>
      </c>
      <c r="E81" s="17">
        <v>53</v>
      </c>
      <c r="F81" s="18">
        <v>0.17</v>
      </c>
      <c r="G81" s="17">
        <v>720</v>
      </c>
      <c r="H81" s="17">
        <v>646.45</v>
      </c>
    </row>
    <row r="82" spans="2:8" ht="12.75">
      <c r="B82" s="13">
        <v>74</v>
      </c>
      <c r="C82" s="14" t="s">
        <v>80</v>
      </c>
      <c r="D82" s="14">
        <v>781</v>
      </c>
      <c r="E82" s="14">
        <v>319</v>
      </c>
      <c r="F82" s="15">
        <v>0.82</v>
      </c>
      <c r="G82" s="14">
        <v>646</v>
      </c>
      <c r="H82" s="14">
        <v>585.01</v>
      </c>
    </row>
    <row r="83" spans="2:8" ht="12.75">
      <c r="B83" s="16">
        <v>75</v>
      </c>
      <c r="C83" s="17" t="s">
        <v>81</v>
      </c>
      <c r="D83" s="17">
        <v>488</v>
      </c>
      <c r="E83" s="17">
        <v>476</v>
      </c>
      <c r="F83" s="18">
        <v>0.02</v>
      </c>
      <c r="G83" s="17">
        <v>426</v>
      </c>
      <c r="H83" s="17">
        <v>958.79</v>
      </c>
    </row>
    <row r="84" spans="2:8" ht="12.75">
      <c r="B84" s="13">
        <v>76</v>
      </c>
      <c r="C84" s="14" t="s">
        <v>82</v>
      </c>
      <c r="D84" s="14">
        <v>496</v>
      </c>
      <c r="E84" s="14">
        <v>242</v>
      </c>
      <c r="F84" s="15">
        <v>0.83</v>
      </c>
      <c r="G84" s="14">
        <v>344</v>
      </c>
      <c r="H84" s="14">
        <v>577.15</v>
      </c>
    </row>
    <row r="85" spans="2:8" ht="12.75">
      <c r="B85" s="16">
        <v>77</v>
      </c>
      <c r="C85" s="17" t="s">
        <v>83</v>
      </c>
      <c r="D85" s="17">
        <v>576</v>
      </c>
      <c r="E85" s="17">
        <v>372</v>
      </c>
      <c r="F85" s="18">
        <v>0.37</v>
      </c>
      <c r="G85" s="17">
        <v>675</v>
      </c>
      <c r="H85" s="17">
        <v>239.9</v>
      </c>
    </row>
    <row r="86" spans="2:8" ht="12.75">
      <c r="B86" s="13">
        <v>78</v>
      </c>
      <c r="C86" s="14" t="s">
        <v>84</v>
      </c>
      <c r="D86" s="14">
        <v>1053</v>
      </c>
      <c r="E86" s="14">
        <v>16</v>
      </c>
      <c r="F86" s="15">
        <v>0.02</v>
      </c>
      <c r="G86" s="14">
        <v>528</v>
      </c>
      <c r="H86" s="14">
        <v>571.91</v>
      </c>
    </row>
    <row r="87" spans="2:8" ht="12.75">
      <c r="B87" s="16">
        <v>79</v>
      </c>
      <c r="C87" s="17" t="s">
        <v>85</v>
      </c>
      <c r="D87" s="17">
        <v>428</v>
      </c>
      <c r="E87" s="17">
        <v>124</v>
      </c>
      <c r="F87" s="18">
        <v>0.47</v>
      </c>
      <c r="G87" s="17">
        <v>351</v>
      </c>
      <c r="H87" s="17">
        <v>639.48</v>
      </c>
    </row>
    <row r="88" spans="2:8" ht="12.75">
      <c r="B88" s="13">
        <v>80</v>
      </c>
      <c r="C88" s="14" t="s">
        <v>86</v>
      </c>
      <c r="D88" s="14">
        <v>447</v>
      </c>
      <c r="E88" s="14">
        <v>299</v>
      </c>
      <c r="F88" s="15">
        <v>0.72</v>
      </c>
      <c r="G88" s="14">
        <v>518</v>
      </c>
      <c r="H88" s="14">
        <v>759.99</v>
      </c>
    </row>
    <row r="89" spans="2:8" ht="12.75">
      <c r="B89" s="16">
        <v>81</v>
      </c>
      <c r="C89" s="17" t="s">
        <v>87</v>
      </c>
      <c r="D89" s="17">
        <v>1059</v>
      </c>
      <c r="E89" s="17">
        <v>9</v>
      </c>
      <c r="F89" s="18">
        <v>0.68</v>
      </c>
      <c r="G89" s="17">
        <v>563</v>
      </c>
      <c r="H89" s="17">
        <v>100.84</v>
      </c>
    </row>
    <row r="90" spans="2:8" ht="12.75">
      <c r="B90" s="13">
        <v>82</v>
      </c>
      <c r="C90" s="14" t="s">
        <v>88</v>
      </c>
      <c r="D90" s="14">
        <v>389</v>
      </c>
      <c r="E90" s="14">
        <v>19</v>
      </c>
      <c r="F90" s="15">
        <v>0.37</v>
      </c>
      <c r="G90" s="14">
        <v>537</v>
      </c>
      <c r="H90" s="14">
        <v>620.14</v>
      </c>
    </row>
    <row r="91" spans="2:8" ht="12.75">
      <c r="B91" s="16">
        <v>83</v>
      </c>
      <c r="C91" s="17" t="s">
        <v>89</v>
      </c>
      <c r="D91" s="17">
        <v>913</v>
      </c>
      <c r="E91" s="17">
        <v>115</v>
      </c>
      <c r="F91" s="18">
        <v>0.12</v>
      </c>
      <c r="G91" s="17">
        <v>499</v>
      </c>
      <c r="H91" s="17">
        <v>558.06</v>
      </c>
    </row>
    <row r="92" spans="2:8" ht="12.75">
      <c r="B92" s="13">
        <v>84</v>
      </c>
      <c r="C92" s="14" t="s">
        <v>90</v>
      </c>
      <c r="D92" s="14">
        <v>1136</v>
      </c>
      <c r="E92" s="14">
        <v>347</v>
      </c>
      <c r="F92" s="15">
        <v>0.6</v>
      </c>
      <c r="G92" s="14">
        <v>384</v>
      </c>
      <c r="H92" s="14">
        <v>999.49</v>
      </c>
    </row>
    <row r="93" spans="2:8" ht="12.75">
      <c r="B93" s="16">
        <v>85</v>
      </c>
      <c r="C93" s="17" t="s">
        <v>91</v>
      </c>
      <c r="D93" s="17">
        <v>1135</v>
      </c>
      <c r="E93" s="17">
        <v>318</v>
      </c>
      <c r="F93" s="18">
        <v>0.81</v>
      </c>
      <c r="G93" s="17">
        <v>491</v>
      </c>
      <c r="H93" s="17">
        <v>715.53</v>
      </c>
    </row>
    <row r="94" spans="2:8" ht="12.75">
      <c r="B94" s="13">
        <v>86</v>
      </c>
      <c r="C94" s="14" t="s">
        <v>92</v>
      </c>
      <c r="D94" s="14">
        <v>232</v>
      </c>
      <c r="E94" s="14">
        <v>430</v>
      </c>
      <c r="F94" s="15">
        <v>0.71</v>
      </c>
      <c r="G94" s="14">
        <v>256</v>
      </c>
      <c r="H94" s="14">
        <v>275.58</v>
      </c>
    </row>
    <row r="95" spans="2:8" ht="12.75">
      <c r="B95" s="16">
        <v>87</v>
      </c>
      <c r="C95" s="17" t="s">
        <v>93</v>
      </c>
      <c r="D95" s="17">
        <v>1319</v>
      </c>
      <c r="E95" s="17">
        <v>100</v>
      </c>
      <c r="F95" s="18">
        <v>0.79</v>
      </c>
      <c r="G95" s="17">
        <v>269</v>
      </c>
      <c r="H95" s="17">
        <v>365.38</v>
      </c>
    </row>
    <row r="96" spans="2:8" ht="12.75">
      <c r="B96" s="13">
        <v>88</v>
      </c>
      <c r="C96" s="14" t="s">
        <v>94</v>
      </c>
      <c r="D96" s="14">
        <v>465</v>
      </c>
      <c r="E96" s="14">
        <v>471</v>
      </c>
      <c r="F96" s="15">
        <v>0.85</v>
      </c>
      <c r="G96" s="14">
        <v>731</v>
      </c>
      <c r="H96" s="14">
        <v>970.51</v>
      </c>
    </row>
    <row r="97" spans="2:8" ht="12.75">
      <c r="B97" s="16">
        <v>89</v>
      </c>
      <c r="C97" s="17" t="s">
        <v>95</v>
      </c>
      <c r="D97" s="17">
        <v>1100</v>
      </c>
      <c r="E97" s="17">
        <v>380</v>
      </c>
      <c r="F97" s="18">
        <v>0.75</v>
      </c>
      <c r="G97" s="17">
        <v>600</v>
      </c>
      <c r="H97" s="17">
        <v>228.92</v>
      </c>
    </row>
    <row r="98" spans="2:8" ht="12.75">
      <c r="B98" s="13">
        <v>90</v>
      </c>
      <c r="C98" s="14" t="s">
        <v>96</v>
      </c>
      <c r="D98" s="14">
        <v>386</v>
      </c>
      <c r="E98" s="14">
        <v>379</v>
      </c>
      <c r="F98" s="15">
        <v>0.21</v>
      </c>
      <c r="G98" s="14">
        <v>720</v>
      </c>
      <c r="H98" s="14">
        <v>22.38</v>
      </c>
    </row>
    <row r="99" spans="2:8" ht="12.75">
      <c r="B99" s="16">
        <v>91</v>
      </c>
      <c r="C99" s="17" t="s">
        <v>97</v>
      </c>
      <c r="D99" s="17">
        <v>1337</v>
      </c>
      <c r="E99" s="17">
        <v>473</v>
      </c>
      <c r="F99" s="18">
        <v>0.24</v>
      </c>
      <c r="G99" s="17">
        <v>266</v>
      </c>
      <c r="H99" s="17">
        <v>711.8</v>
      </c>
    </row>
    <row r="100" spans="2:8" ht="12.75">
      <c r="B100" s="13">
        <v>92</v>
      </c>
      <c r="C100" s="14" t="s">
        <v>98</v>
      </c>
      <c r="D100" s="14">
        <v>130</v>
      </c>
      <c r="E100" s="14">
        <v>244</v>
      </c>
      <c r="F100" s="15">
        <v>0.08</v>
      </c>
      <c r="G100" s="14">
        <v>391</v>
      </c>
      <c r="H100" s="14">
        <v>384.97</v>
      </c>
    </row>
    <row r="101" spans="2:8" ht="12.75">
      <c r="B101" s="16">
        <v>93</v>
      </c>
      <c r="C101" s="17" t="s">
        <v>99</v>
      </c>
      <c r="D101" s="17">
        <v>680</v>
      </c>
      <c r="E101" s="17">
        <v>49</v>
      </c>
      <c r="F101" s="18">
        <v>0.03</v>
      </c>
      <c r="G101" s="17">
        <v>496</v>
      </c>
      <c r="H101" s="17">
        <v>614.98</v>
      </c>
    </row>
    <row r="102" spans="2:8" ht="12.75">
      <c r="B102" s="13">
        <v>94</v>
      </c>
      <c r="C102" s="14" t="s">
        <v>100</v>
      </c>
      <c r="D102" s="14">
        <v>1355</v>
      </c>
      <c r="E102" s="14">
        <v>423</v>
      </c>
      <c r="F102" s="15">
        <v>0.63</v>
      </c>
      <c r="G102" s="14">
        <v>705</v>
      </c>
      <c r="H102" s="14">
        <v>482.87</v>
      </c>
    </row>
    <row r="103" spans="2:8" ht="12.75">
      <c r="B103" s="16">
        <v>95</v>
      </c>
      <c r="C103" s="17" t="s">
        <v>101</v>
      </c>
      <c r="D103" s="17">
        <v>889</v>
      </c>
      <c r="E103" s="17">
        <v>15</v>
      </c>
      <c r="F103" s="18">
        <v>0.11</v>
      </c>
      <c r="G103" s="17">
        <v>561</v>
      </c>
      <c r="H103" s="17">
        <v>80.79</v>
      </c>
    </row>
    <row r="104" spans="2:8" ht="12.75">
      <c r="B104" s="13">
        <v>96</v>
      </c>
      <c r="C104" s="14" t="s">
        <v>102</v>
      </c>
      <c r="D104" s="14">
        <v>1102</v>
      </c>
      <c r="E104" s="14">
        <v>69</v>
      </c>
      <c r="F104" s="15">
        <v>0.16</v>
      </c>
      <c r="G104" s="14">
        <v>666</v>
      </c>
      <c r="H104" s="14">
        <v>453.03</v>
      </c>
    </row>
    <row r="105" spans="2:8" ht="12.75">
      <c r="B105" s="16">
        <v>97</v>
      </c>
      <c r="C105" s="17" t="s">
        <v>103</v>
      </c>
      <c r="D105" s="17">
        <v>638</v>
      </c>
      <c r="E105" s="17">
        <v>393</v>
      </c>
      <c r="F105" s="18">
        <v>0.65</v>
      </c>
      <c r="G105" s="17">
        <v>587</v>
      </c>
      <c r="H105" s="17">
        <v>944.86</v>
      </c>
    </row>
    <row r="106" spans="2:8" ht="12.75">
      <c r="B106" s="13">
        <v>98</v>
      </c>
      <c r="C106" s="14" t="s">
        <v>104</v>
      </c>
      <c r="D106" s="14">
        <v>885</v>
      </c>
      <c r="E106" s="14">
        <v>343</v>
      </c>
      <c r="F106" s="15">
        <v>0.35</v>
      </c>
      <c r="G106" s="14">
        <v>679</v>
      </c>
      <c r="H106" s="14">
        <v>676.41</v>
      </c>
    </row>
    <row r="107" spans="2:8" ht="12.75">
      <c r="B107" s="16">
        <v>99</v>
      </c>
      <c r="C107" s="17" t="s">
        <v>105</v>
      </c>
      <c r="D107" s="17">
        <v>1188</v>
      </c>
      <c r="E107" s="17">
        <v>289</v>
      </c>
      <c r="F107" s="18">
        <v>0.39</v>
      </c>
      <c r="G107" s="17">
        <v>609</v>
      </c>
      <c r="H107" s="17">
        <v>996.63</v>
      </c>
    </row>
    <row r="108" spans="2:8" ht="12.75">
      <c r="B108" s="13">
        <v>100</v>
      </c>
      <c r="C108" s="14" t="s">
        <v>106</v>
      </c>
      <c r="D108" s="14">
        <v>1338</v>
      </c>
      <c r="E108" s="14">
        <v>183</v>
      </c>
      <c r="F108" s="15">
        <v>0.28</v>
      </c>
      <c r="G108" s="14">
        <v>646</v>
      </c>
      <c r="H108" s="14">
        <v>343.29</v>
      </c>
    </row>
  </sheetData>
  <sheetProtection/>
  <conditionalFormatting sqref="G9:G108">
    <cfRule type="cellIs" priority="1" dxfId="0" operator="lessThan" stopIfTrue="1">
      <formula>0.5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H117"/>
  <sheetViews>
    <sheetView showGridLines="0" zoomScale="80" zoomScaleNormal="80" zoomScalePageLayoutView="0" workbookViewId="0" topLeftCell="A1">
      <selection activeCell="BD27" sqref="BD27:BD31"/>
    </sheetView>
  </sheetViews>
  <sheetFormatPr defaultColWidth="9.140625" defaultRowHeight="12.75"/>
  <cols>
    <col min="3" max="3" width="32.140625" style="0" bestFit="1" customWidth="1"/>
    <col min="4" max="4" width="15.57421875" style="0" customWidth="1"/>
    <col min="5" max="5" width="12.8515625" style="0" customWidth="1"/>
    <col min="6" max="6" width="14.00390625" style="0" customWidth="1"/>
    <col min="7" max="7" width="11.57421875" style="0" customWidth="1"/>
    <col min="8" max="8" width="2.8515625" style="0" customWidth="1"/>
    <col min="9" max="9" width="11.421875" style="0" bestFit="1" customWidth="1"/>
    <col min="15" max="15" width="3.7109375" style="0" customWidth="1"/>
    <col min="41" max="41" width="3.421875" style="0" customWidth="1"/>
    <col min="43" max="43" width="3.28125" style="0" customWidth="1"/>
    <col min="46" max="46" width="4.140625" style="0" customWidth="1"/>
    <col min="47" max="47" width="12.28125" style="0" bestFit="1" customWidth="1"/>
    <col min="48" max="48" width="11.57421875" style="0" bestFit="1" customWidth="1"/>
    <col min="49" max="49" width="3.7109375" style="0" customWidth="1"/>
    <col min="51" max="55" width="9.7109375" style="0" customWidth="1"/>
    <col min="56" max="56" width="10.00390625" style="0" customWidth="1"/>
    <col min="57" max="57" width="8.7109375" style="0" customWidth="1"/>
    <col min="58" max="60" width="11.28125" style="0" customWidth="1"/>
  </cols>
  <sheetData>
    <row r="2" spans="3:10" ht="15.75" thickBot="1">
      <c r="C2" s="1" t="s">
        <v>109</v>
      </c>
      <c r="D2" s="2"/>
      <c r="E2" s="2"/>
      <c r="F2" s="2"/>
      <c r="G2" s="2"/>
      <c r="H2" s="2"/>
      <c r="I2" s="2"/>
      <c r="J2" s="2"/>
    </row>
    <row r="4" spans="3:4" ht="12.75">
      <c r="C4" s="21" t="s">
        <v>107</v>
      </c>
      <c r="D4" s="22">
        <v>1</v>
      </c>
    </row>
    <row r="5" spans="3:4" ht="12.75">
      <c r="C5" s="21" t="s">
        <v>108</v>
      </c>
      <c r="D5" s="22">
        <f>COUNT(Данные!$B$8:$B$1005)-9</f>
        <v>91</v>
      </c>
    </row>
    <row r="6" spans="3:4" ht="12.75">
      <c r="C6" s="23" t="s">
        <v>110</v>
      </c>
      <c r="D6" s="22">
        <v>1</v>
      </c>
    </row>
    <row r="7" spans="3:4" ht="12.75">
      <c r="C7" s="74"/>
      <c r="D7" s="41"/>
    </row>
    <row r="8" spans="3:4" ht="12.75">
      <c r="C8" s="75" t="s">
        <v>131</v>
      </c>
      <c r="D8" s="76" t="s">
        <v>132</v>
      </c>
    </row>
    <row r="9" spans="3:4" ht="12.75">
      <c r="C9" s="74"/>
      <c r="D9" s="77" t="s">
        <v>133</v>
      </c>
    </row>
    <row r="10" spans="3:4" ht="12.75">
      <c r="C10" s="74"/>
      <c r="D10" s="77" t="s">
        <v>134</v>
      </c>
    </row>
    <row r="11" spans="3:4" ht="12.75">
      <c r="C11" s="74"/>
      <c r="D11" s="77" t="s">
        <v>135</v>
      </c>
    </row>
    <row r="12" ht="12.75">
      <c r="D12" s="78" t="s">
        <v>136</v>
      </c>
    </row>
    <row r="13" ht="15.75" customHeight="1">
      <c r="D13" s="74"/>
    </row>
    <row r="14" spans="3:60" ht="15.75" customHeight="1">
      <c r="C14" s="76" t="s">
        <v>137</v>
      </c>
      <c r="D14" s="76">
        <v>1</v>
      </c>
      <c r="AR14" s="101" t="s">
        <v>139</v>
      </c>
      <c r="AS14" s="102"/>
      <c r="AT14" s="102"/>
      <c r="AU14" s="102"/>
      <c r="AV14" s="103"/>
      <c r="AX14" s="98" t="s">
        <v>154</v>
      </c>
      <c r="AY14" s="99"/>
      <c r="AZ14" s="99"/>
      <c r="BA14" s="99"/>
      <c r="BB14" s="99"/>
      <c r="BC14" s="99"/>
      <c r="BD14" s="99"/>
      <c r="BE14" s="99"/>
      <c r="BF14" s="99"/>
      <c r="BG14" s="99"/>
      <c r="BH14" s="100"/>
    </row>
    <row r="15" spans="3:48" ht="15.75" customHeight="1">
      <c r="C15" s="78" t="s">
        <v>138</v>
      </c>
      <c r="D15" s="78">
        <v>3</v>
      </c>
      <c r="AR15" s="79"/>
      <c r="AS15" s="79"/>
      <c r="AT15" s="79"/>
      <c r="AU15" s="79"/>
      <c r="AV15" s="79"/>
    </row>
    <row r="16" spans="16:48" ht="15.75" customHeight="1">
      <c r="P16" s="104" t="str">
        <f>Данные!D8</f>
        <v>KPI 1</v>
      </c>
      <c r="Q16" s="104"/>
      <c r="R16" s="104"/>
      <c r="S16" s="104"/>
      <c r="T16" s="104"/>
      <c r="U16" s="104" t="str">
        <f>Данные!E5</f>
        <v>KPI 2</v>
      </c>
      <c r="V16" s="104"/>
      <c r="W16" s="104"/>
      <c r="X16" s="104"/>
      <c r="Y16" s="104"/>
      <c r="Z16" s="104" t="str">
        <f>Данные!F8</f>
        <v>KPI 3</v>
      </c>
      <c r="AA16" s="104"/>
      <c r="AB16" s="104"/>
      <c r="AC16" s="104"/>
      <c r="AD16" s="104"/>
      <c r="AE16" s="104" t="str">
        <f>Данные!G8</f>
        <v>KPI 4</v>
      </c>
      <c r="AF16" s="104"/>
      <c r="AG16" s="104"/>
      <c r="AH16" s="104"/>
      <c r="AI16" s="104"/>
      <c r="AJ16" s="104" t="str">
        <f>Данные!H8</f>
        <v>KPI 5</v>
      </c>
      <c r="AK16" s="104"/>
      <c r="AL16" s="104"/>
      <c r="AM16" s="104"/>
      <c r="AN16" s="104"/>
      <c r="AR16" s="80" t="s">
        <v>142</v>
      </c>
      <c r="AS16" s="81"/>
      <c r="AT16" s="82"/>
      <c r="AU16" s="80" t="s">
        <v>145</v>
      </c>
      <c r="AV16" s="81"/>
    </row>
    <row r="17" spans="4:60" ht="25.5">
      <c r="D17" s="32" t="s">
        <v>111</v>
      </c>
      <c r="E17" s="32" t="s">
        <v>112</v>
      </c>
      <c r="F17" s="32" t="s">
        <v>114</v>
      </c>
      <c r="G17" s="32" t="s">
        <v>113</v>
      </c>
      <c r="J17" s="35" t="s">
        <v>2</v>
      </c>
      <c r="K17" s="35" t="s">
        <v>3</v>
      </c>
      <c r="L17" s="35" t="s">
        <v>4</v>
      </c>
      <c r="M17" s="35" t="s">
        <v>5</v>
      </c>
      <c r="N17" s="35" t="s">
        <v>6</v>
      </c>
      <c r="P17" s="60" t="s">
        <v>123</v>
      </c>
      <c r="Q17" s="61" t="s">
        <v>124</v>
      </c>
      <c r="R17" s="61" t="s">
        <v>125</v>
      </c>
      <c r="S17" s="61" t="s">
        <v>120</v>
      </c>
      <c r="T17" s="61" t="s">
        <v>121</v>
      </c>
      <c r="U17" s="60" t="s">
        <v>123</v>
      </c>
      <c r="V17" s="61" t="s">
        <v>124</v>
      </c>
      <c r="W17" s="61" t="s">
        <v>125</v>
      </c>
      <c r="X17" s="61" t="s">
        <v>120</v>
      </c>
      <c r="Y17" s="61" t="s">
        <v>121</v>
      </c>
      <c r="Z17" s="60" t="s">
        <v>123</v>
      </c>
      <c r="AA17" s="61" t="s">
        <v>124</v>
      </c>
      <c r="AB17" s="61" t="s">
        <v>125</v>
      </c>
      <c r="AC17" s="61" t="s">
        <v>120</v>
      </c>
      <c r="AD17" s="61" t="s">
        <v>121</v>
      </c>
      <c r="AE17" s="60" t="s">
        <v>123</v>
      </c>
      <c r="AF17" s="61" t="s">
        <v>124</v>
      </c>
      <c r="AG17" s="61" t="s">
        <v>125</v>
      </c>
      <c r="AH17" s="61" t="s">
        <v>120</v>
      </c>
      <c r="AI17" s="61" t="s">
        <v>121</v>
      </c>
      <c r="AJ17" s="60" t="s">
        <v>123</v>
      </c>
      <c r="AK17" s="61" t="s">
        <v>124</v>
      </c>
      <c r="AL17" s="61" t="s">
        <v>125</v>
      </c>
      <c r="AM17" s="61" t="s">
        <v>120</v>
      </c>
      <c r="AN17" s="61" t="s">
        <v>121</v>
      </c>
      <c r="AP17" s="61" t="s">
        <v>122</v>
      </c>
      <c r="AR17" s="83" t="s">
        <v>140</v>
      </c>
      <c r="AS17" s="83" t="s">
        <v>141</v>
      </c>
      <c r="AT17" s="82"/>
      <c r="AU17" s="83" t="s">
        <v>143</v>
      </c>
      <c r="AV17" s="83" t="s">
        <v>144</v>
      </c>
      <c r="AX17" s="88"/>
      <c r="AY17" s="91" t="s">
        <v>147</v>
      </c>
      <c r="AZ17" s="91" t="s">
        <v>148</v>
      </c>
      <c r="BA17" s="91" t="s">
        <v>149</v>
      </c>
      <c r="BB17" s="91" t="s">
        <v>150</v>
      </c>
      <c r="BC17" s="91" t="s">
        <v>125</v>
      </c>
      <c r="BD17" s="91" t="s">
        <v>155</v>
      </c>
      <c r="BE17" s="91" t="s">
        <v>156</v>
      </c>
      <c r="BF17" s="91" t="s">
        <v>151</v>
      </c>
      <c r="BG17" s="91" t="s">
        <v>152</v>
      </c>
      <c r="BH17" s="91" t="s">
        <v>153</v>
      </c>
    </row>
    <row r="18" spans="2:60" ht="12.75">
      <c r="B18" s="25">
        <f>Данные!B9</f>
        <v>1</v>
      </c>
      <c r="C18" s="25" t="str">
        <f>Данные!C9</f>
        <v>Продукт 1</v>
      </c>
      <c r="D18" s="25">
        <f ca="1">OFFSET(Данные!$C9,0,критерий_сортировки)</f>
        <v>284</v>
      </c>
      <c r="E18" s="26">
        <f>$D18+B18/1000000</f>
        <v>284.000001</v>
      </c>
      <c r="F18" s="24">
        <f>LARGE($E$18:$E$117,$B18)</f>
        <v>1407.000036</v>
      </c>
      <c r="G18" s="24">
        <f>MATCH(F18,$E$18:$E$117,0)</f>
        <v>36</v>
      </c>
      <c r="I18" s="25" t="str">
        <f ca="1">OFFSET(Данные!C$8,$G18,0)</f>
        <v>Продукт 36</v>
      </c>
      <c r="J18" s="26">
        <f ca="1">OFFSET(Данные!D$8,$G18,0)</f>
        <v>1407</v>
      </c>
      <c r="K18" s="26">
        <f ca="1">OFFSET(Данные!E$8,$G18,0)</f>
        <v>302</v>
      </c>
      <c r="L18" s="33">
        <f ca="1">OFFSET(Данные!F$8,$G18,0)</f>
        <v>0.02</v>
      </c>
      <c r="M18" s="26">
        <f ca="1">OFFSET(Данные!G$8,$G18,0)</f>
        <v>634</v>
      </c>
      <c r="N18" s="26">
        <f ca="1">OFFSET(Данные!H$8,$G18,0)</f>
        <v>178.96</v>
      </c>
      <c r="P18" s="68">
        <f>IF(Дашборд!$E7&gt;=Данные!$D$6,Дашборд!$E7,NA())</f>
        <v>1407</v>
      </c>
      <c r="Q18" s="68" t="e">
        <f>IF(Дашборд!$E7&lt;Данные!$D$6,Дашборд!$E7,NA())</f>
        <v>#N/A</v>
      </c>
      <c r="R18" s="69">
        <f>AVERAGE(J$18:J$117)</f>
        <v>725.06</v>
      </c>
      <c r="S18" s="69">
        <f>MIN(J$18:J$117)</f>
        <v>107</v>
      </c>
      <c r="T18" s="69">
        <f>MAX(J$18:J$117)</f>
        <v>1407</v>
      </c>
      <c r="U18" s="68">
        <f>IF(Дашборд!$H7&gt;=Данные!$E$6,Дашборд!$H7,NA())</f>
        <v>302</v>
      </c>
      <c r="V18" s="68" t="e">
        <f>IF(Дашборд!$H7&lt;Данные!$E$6,Дашборд!$H7,NA())</f>
        <v>#N/A</v>
      </c>
      <c r="W18" s="69">
        <f>AVERAGE(K$18:K$117)</f>
        <v>242.65</v>
      </c>
      <c r="X18" s="69">
        <f>MIN(K$18:K$117)</f>
        <v>5</v>
      </c>
      <c r="Y18" s="69">
        <f>MAX(K$18:K$117)</f>
        <v>489</v>
      </c>
      <c r="Z18" s="70" t="e">
        <f>IF(Дашборд!$K7&gt;=Данные!$F$6,Дашборд!$K7,NA())</f>
        <v>#N/A</v>
      </c>
      <c r="AA18" s="70">
        <f>IF(Дашборд!$K7&lt;Данные!$F$6,Дашборд!$K7,NA())</f>
        <v>0.02</v>
      </c>
      <c r="AB18" s="70">
        <f>AVERAGE(L$18:L$117)</f>
        <v>0.4815</v>
      </c>
      <c r="AC18" s="70">
        <f>MIN(L$18:L$117)</f>
        <v>0.02</v>
      </c>
      <c r="AD18" s="70">
        <f>MAX(L$18:L$117)</f>
        <v>0.98</v>
      </c>
      <c r="AE18" s="68" t="e">
        <f>IF(Дашборд!$N7&gt;=Данные!$G$6,Дашборд!$N7,NA())</f>
        <v>#N/A</v>
      </c>
      <c r="AF18" s="68">
        <f>IF(Дашборд!$N7&lt;Данные!$G$6,Дашборд!$N7,NA())</f>
        <v>634</v>
      </c>
      <c r="AG18" s="69">
        <f>AVERAGE(M$18:M$117)</f>
        <v>505.62</v>
      </c>
      <c r="AH18" s="69">
        <f>MIN(M$18:M$117)</f>
        <v>256</v>
      </c>
      <c r="AI18" s="69">
        <f>MAX(M$18:M$117)</f>
        <v>731</v>
      </c>
      <c r="AJ18" s="68" t="e">
        <f>IF(Дашборд!$Q7&gt;=Данные!$H$6,Дашборд!$Q7,NA())</f>
        <v>#N/A</v>
      </c>
      <c r="AK18" s="68">
        <f>IF(Дашборд!$Q7&lt;Данные!$H$6,Дашборд!$Q7,NA())</f>
        <v>178.96</v>
      </c>
      <c r="AL18" s="69">
        <f>AVERAGE(N$18:N$117)</f>
        <v>490.4863</v>
      </c>
      <c r="AM18" s="69">
        <f>MIN(N$18:N$117)</f>
        <v>0.33</v>
      </c>
      <c r="AN18" s="69">
        <f>MAX(N$18:N$117)</f>
        <v>999.49</v>
      </c>
      <c r="AP18" s="62">
        <v>1</v>
      </c>
      <c r="AR18" s="4">
        <f ca="1">OFFSET(Данные!C9,0,Расчеты!$D$14)</f>
        <v>284</v>
      </c>
      <c r="AS18" s="4">
        <f ca="1">OFFSET(Данные!C9,0,Расчеты!$D$15)</f>
        <v>0.28</v>
      </c>
      <c r="AU18" s="4">
        <f ca="1">OFFSET($I17,$D$4,$D$14)</f>
        <v>1407</v>
      </c>
      <c r="AV18" s="4">
        <f ca="1">OFFSET($I17,$D$4,$D$15)</f>
        <v>0.02</v>
      </c>
      <c r="AX18" s="84" t="s">
        <v>2</v>
      </c>
      <c r="AY18" s="92">
        <f>MIN(Данные!$D$9:$D$108)</f>
        <v>107</v>
      </c>
      <c r="AZ18" s="92">
        <f>MAX(Данные!$D$9:$D$108)</f>
        <v>1407</v>
      </c>
      <c r="BA18" s="92">
        <f ca="1">MIN(OFFSET($I$17,$D$4,1,10))</f>
        <v>1337</v>
      </c>
      <c r="BB18" s="92">
        <f ca="1">MAX(OFFSET($I$17,$D$4,1,10))</f>
        <v>1407</v>
      </c>
      <c r="BC18" s="92">
        <f>AVERAGE(Данные!$D$9:$D$108)</f>
        <v>725.06</v>
      </c>
      <c r="BD18" s="92">
        <f>Данные!$D$6</f>
        <v>500</v>
      </c>
      <c r="BE18" s="89">
        <f>AY18</f>
        <v>107</v>
      </c>
      <c r="BF18" s="86">
        <f>BA18-AY18</f>
        <v>1230</v>
      </c>
      <c r="BG18" s="86">
        <f>BB18-BA18</f>
        <v>70</v>
      </c>
      <c r="BH18" s="86">
        <f>AZ18-BB18</f>
        <v>0</v>
      </c>
    </row>
    <row r="19" spans="2:60" ht="12.75">
      <c r="B19" s="4">
        <f>Данные!B10</f>
        <v>2</v>
      </c>
      <c r="C19" s="4" t="str">
        <f>Данные!C10</f>
        <v>Продукт 2</v>
      </c>
      <c r="D19" s="4">
        <f ca="1">OFFSET(Данные!$C10,0,критерий_сортировки)</f>
        <v>170</v>
      </c>
      <c r="E19" s="27">
        <f aca="true" t="shared" si="0" ref="E19:E82">$D19+B19/1000000</f>
        <v>170.000002</v>
      </c>
      <c r="F19" s="28">
        <f aca="true" t="shared" si="1" ref="F19:F82">LARGE($E$18:$E$117,$B19)</f>
        <v>1403.000039</v>
      </c>
      <c r="G19" s="28">
        <f aca="true" t="shared" si="2" ref="G19:G82">MATCH(F19,$E$18:$E$117,0)</f>
        <v>39</v>
      </c>
      <c r="I19" s="4" t="str">
        <f ca="1">OFFSET(Данные!C$8,$G19,0)</f>
        <v>Продукт 39</v>
      </c>
      <c r="J19" s="27">
        <f ca="1">OFFSET(Данные!D$8,$G19,0)</f>
        <v>1403</v>
      </c>
      <c r="K19" s="27">
        <f ca="1">OFFSET(Данные!E$8,$G19,0)</f>
        <v>347</v>
      </c>
      <c r="L19" s="5">
        <f ca="1">OFFSET(Данные!F$8,$G19,0)</f>
        <v>0.61</v>
      </c>
      <c r="M19" s="27">
        <f ca="1">OFFSET(Данные!G$8,$G19,0)</f>
        <v>671</v>
      </c>
      <c r="N19" s="27">
        <f ca="1">OFFSET(Данные!H$8,$G19,0)</f>
        <v>206.15</v>
      </c>
      <c r="P19" s="68">
        <f>IF(Дашборд!$E8&gt;=Данные!$D$6,Дашборд!$E8,NA())</f>
        <v>1403</v>
      </c>
      <c r="Q19" s="68" t="e">
        <f>IF(Дашборд!$E8&lt;Данные!$D$6,Дашборд!$E8,NA())</f>
        <v>#N/A</v>
      </c>
      <c r="R19" s="69">
        <f aca="true" t="shared" si="3" ref="R19:R27">AVERAGE(J$18:J$117)</f>
        <v>725.06</v>
      </c>
      <c r="S19" s="69">
        <f aca="true" t="shared" si="4" ref="S19:S27">MIN(J$18:J$117)</f>
        <v>107</v>
      </c>
      <c r="T19" s="69">
        <f aca="true" t="shared" si="5" ref="T19:T27">MAX(J$18:J$117)</f>
        <v>1407</v>
      </c>
      <c r="U19" s="68">
        <f>IF(Дашборд!$H8&gt;=Данные!$E$6,Дашборд!$H8,NA())</f>
        <v>347</v>
      </c>
      <c r="V19" s="68" t="e">
        <f>IF(Дашборд!$H8&lt;Данные!$E$6,Дашборд!$H8,NA())</f>
        <v>#N/A</v>
      </c>
      <c r="W19" s="69">
        <f aca="true" t="shared" si="6" ref="W19:W27">AVERAGE(K$18:K$117)</f>
        <v>242.65</v>
      </c>
      <c r="X19" s="69">
        <f aca="true" t="shared" si="7" ref="X19:X27">MIN(K$18:K$117)</f>
        <v>5</v>
      </c>
      <c r="Y19" s="69">
        <f aca="true" t="shared" si="8" ref="Y19:Y27">MAX(K$18:K$117)</f>
        <v>489</v>
      </c>
      <c r="Z19" s="70">
        <f>IF(Дашборд!$K8&gt;=Данные!$F$6,Дашборд!$K8,NA())</f>
        <v>0.61</v>
      </c>
      <c r="AA19" s="70" t="e">
        <f>IF(Дашборд!$K8&lt;Данные!$F$6,Дашборд!$K8,NA())</f>
        <v>#N/A</v>
      </c>
      <c r="AB19" s="70">
        <f aca="true" t="shared" si="9" ref="AB19:AB27">AVERAGE(L$18:L$117)</f>
        <v>0.4815</v>
      </c>
      <c r="AC19" s="70">
        <f aca="true" t="shared" si="10" ref="AC19:AC27">MIN(L$18:L$117)</f>
        <v>0.02</v>
      </c>
      <c r="AD19" s="70">
        <f aca="true" t="shared" si="11" ref="AD19:AD27">MAX(L$18:L$117)</f>
        <v>0.98</v>
      </c>
      <c r="AE19" s="68" t="e">
        <f>IF(Дашборд!$N8&gt;=Данные!$G$6,Дашборд!$N8,NA())</f>
        <v>#N/A</v>
      </c>
      <c r="AF19" s="68">
        <f>IF(Дашборд!$N8&lt;Данные!$G$6,Дашборд!$N8,NA())</f>
        <v>671</v>
      </c>
      <c r="AG19" s="69">
        <f aca="true" t="shared" si="12" ref="AG19:AG27">AVERAGE(M$18:M$117)</f>
        <v>505.62</v>
      </c>
      <c r="AH19" s="69">
        <f aca="true" t="shared" si="13" ref="AH19:AH27">MIN(M$18:M$117)</f>
        <v>256</v>
      </c>
      <c r="AI19" s="69">
        <f aca="true" t="shared" si="14" ref="AI19:AI27">MAX(M$18:M$117)</f>
        <v>731</v>
      </c>
      <c r="AJ19" s="68" t="e">
        <f>IF(Дашборд!$Q8&gt;=Данные!$H$6,Дашборд!$Q8,NA())</f>
        <v>#N/A</v>
      </c>
      <c r="AK19" s="68">
        <f>IF(Дашборд!$Q8&lt;Данные!$H$6,Дашборд!$Q8,NA())</f>
        <v>206.15</v>
      </c>
      <c r="AL19" s="69">
        <f aca="true" t="shared" si="15" ref="AL19:AL27">AVERAGE(N$18:N$117)</f>
        <v>490.4863</v>
      </c>
      <c r="AM19" s="69">
        <f aca="true" t="shared" si="16" ref="AM19:AM27">MIN(N$18:N$117)</f>
        <v>0.33</v>
      </c>
      <c r="AN19" s="69">
        <f aca="true" t="shared" si="17" ref="AN19:AN27">MAX(N$18:N$117)</f>
        <v>999.49</v>
      </c>
      <c r="AP19" s="63">
        <v>2</v>
      </c>
      <c r="AR19" s="4">
        <f ca="1">OFFSET(Данные!C10,0,Расчеты!$D$14)</f>
        <v>170</v>
      </c>
      <c r="AS19" s="4">
        <f ca="1">OFFSET(Данные!C10,0,Расчеты!$D$15)</f>
        <v>0.86</v>
      </c>
      <c r="AU19" s="4">
        <f aca="true" ca="1" t="shared" si="18" ref="AU19:AU26">OFFSET($I18,$D$4,$D$14)</f>
        <v>1403</v>
      </c>
      <c r="AV19" s="4">
        <f aca="true" ca="1" t="shared" si="19" ref="AV19:AV26">OFFSET($I18,$D$4,$D$15)</f>
        <v>0.61</v>
      </c>
      <c r="AX19" s="84" t="s">
        <v>3</v>
      </c>
      <c r="AY19" s="92">
        <f>MIN(Данные!$E$9:$E$108)</f>
        <v>5</v>
      </c>
      <c r="AZ19" s="92">
        <f>MAX(Данные!$E$9:$E$108)</f>
        <v>489</v>
      </c>
      <c r="BA19" s="92">
        <f ca="1">MIN(OFFSET($I$17,$D$4,2,10))</f>
        <v>130</v>
      </c>
      <c r="BB19" s="92">
        <f ca="1">MAX(OFFSET($I$17,$D$4,2,10))</f>
        <v>473</v>
      </c>
      <c r="BC19" s="92">
        <f>AVERAGE(Данные!$E$9:$E$108)</f>
        <v>242.65</v>
      </c>
      <c r="BD19" s="92">
        <f>Данные!$E$6</f>
        <v>200</v>
      </c>
      <c r="BE19" s="89">
        <f>AY19</f>
        <v>5</v>
      </c>
      <c r="BF19" s="86">
        <f>BA19-AY19</f>
        <v>125</v>
      </c>
      <c r="BG19" s="86">
        <f>BB19-BA19</f>
        <v>343</v>
      </c>
      <c r="BH19" s="86">
        <f>AZ19-BB19</f>
        <v>16</v>
      </c>
    </row>
    <row r="20" spans="2:60" ht="12.75">
      <c r="B20" s="4">
        <f>Данные!B11</f>
        <v>3</v>
      </c>
      <c r="C20" s="4" t="str">
        <f>Данные!C11</f>
        <v>Продукт 3</v>
      </c>
      <c r="D20" s="4">
        <f ca="1">OFFSET(Данные!$C11,0,критерий_сортировки)</f>
        <v>760</v>
      </c>
      <c r="E20" s="27">
        <f t="shared" si="0"/>
        <v>760.000003</v>
      </c>
      <c r="F20" s="28">
        <f t="shared" si="1"/>
        <v>1368.000065</v>
      </c>
      <c r="G20" s="28">
        <f t="shared" si="2"/>
        <v>65</v>
      </c>
      <c r="I20" s="4" t="str">
        <f ca="1">OFFSET(Данные!C$8,$G20,0)</f>
        <v>Продукт 65</v>
      </c>
      <c r="J20" s="27">
        <f ca="1">OFFSET(Данные!D$8,$G20,0)</f>
        <v>1368</v>
      </c>
      <c r="K20" s="27">
        <f ca="1">OFFSET(Данные!E$8,$G20,0)</f>
        <v>188</v>
      </c>
      <c r="L20" s="5">
        <f ca="1">OFFSET(Данные!F$8,$G20,0)</f>
        <v>0.28</v>
      </c>
      <c r="M20" s="27">
        <f ca="1">OFFSET(Данные!G$8,$G20,0)</f>
        <v>539</v>
      </c>
      <c r="N20" s="27">
        <f ca="1">OFFSET(Данные!H$8,$G20,0)</f>
        <v>876.31</v>
      </c>
      <c r="P20" s="68">
        <f>IF(Дашборд!$E9&gt;=Данные!$D$6,Дашборд!$E9,NA())</f>
        <v>1368</v>
      </c>
      <c r="Q20" s="68" t="e">
        <f>IF(Дашборд!$E9&lt;Данные!$D$6,Дашборд!$E9,NA())</f>
        <v>#N/A</v>
      </c>
      <c r="R20" s="69">
        <f t="shared" si="3"/>
        <v>725.06</v>
      </c>
      <c r="S20" s="69">
        <f t="shared" si="4"/>
        <v>107</v>
      </c>
      <c r="T20" s="69">
        <f t="shared" si="5"/>
        <v>1407</v>
      </c>
      <c r="U20" s="68" t="e">
        <f>IF(Дашборд!$H9&gt;=Данные!$E$6,Дашборд!$H9,NA())</f>
        <v>#N/A</v>
      </c>
      <c r="V20" s="68">
        <f>IF(Дашборд!$H9&lt;Данные!$E$6,Дашборд!$H9,NA())</f>
        <v>188</v>
      </c>
      <c r="W20" s="69">
        <f t="shared" si="6"/>
        <v>242.65</v>
      </c>
      <c r="X20" s="69">
        <f t="shared" si="7"/>
        <v>5</v>
      </c>
      <c r="Y20" s="69">
        <f t="shared" si="8"/>
        <v>489</v>
      </c>
      <c r="Z20" s="70" t="e">
        <f>IF(Дашборд!$K9&gt;=Данные!$F$6,Дашборд!$K9,NA())</f>
        <v>#N/A</v>
      </c>
      <c r="AA20" s="70">
        <f>IF(Дашборд!$K9&lt;Данные!$F$6,Дашборд!$K9,NA())</f>
        <v>0.28</v>
      </c>
      <c r="AB20" s="70">
        <f t="shared" si="9"/>
        <v>0.4815</v>
      </c>
      <c r="AC20" s="70">
        <f t="shared" si="10"/>
        <v>0.02</v>
      </c>
      <c r="AD20" s="70">
        <f t="shared" si="11"/>
        <v>0.98</v>
      </c>
      <c r="AE20" s="68" t="e">
        <f>IF(Дашборд!$N9&gt;=Данные!$G$6,Дашборд!$N9,NA())</f>
        <v>#N/A</v>
      </c>
      <c r="AF20" s="68">
        <f>IF(Дашборд!$N9&lt;Данные!$G$6,Дашборд!$N9,NA())</f>
        <v>539</v>
      </c>
      <c r="AG20" s="69">
        <f t="shared" si="12"/>
        <v>505.62</v>
      </c>
      <c r="AH20" s="69">
        <f t="shared" si="13"/>
        <v>256</v>
      </c>
      <c r="AI20" s="69">
        <f t="shared" si="14"/>
        <v>731</v>
      </c>
      <c r="AJ20" s="68">
        <f>IF(Дашборд!$Q9&gt;=Данные!$H$6,Дашборд!$Q9,NA())</f>
        <v>876.31</v>
      </c>
      <c r="AK20" s="68" t="e">
        <f>IF(Дашборд!$Q9&lt;Данные!$H$6,Дашборд!$Q9,NA())</f>
        <v>#N/A</v>
      </c>
      <c r="AL20" s="69">
        <f t="shared" si="15"/>
        <v>490.4863</v>
      </c>
      <c r="AM20" s="69">
        <f t="shared" si="16"/>
        <v>0.33</v>
      </c>
      <c r="AN20" s="69">
        <f t="shared" si="17"/>
        <v>999.49</v>
      </c>
      <c r="AP20" s="63">
        <v>3</v>
      </c>
      <c r="AR20" s="4">
        <f ca="1">OFFSET(Данные!C11,0,Расчеты!$D$14)</f>
        <v>760</v>
      </c>
      <c r="AS20" s="4">
        <f ca="1">OFFSET(Данные!C11,0,Расчеты!$D$15)</f>
        <v>0.95</v>
      </c>
      <c r="AU20" s="4">
        <f ca="1" t="shared" si="18"/>
        <v>1368</v>
      </c>
      <c r="AV20" s="4">
        <f ca="1" t="shared" si="19"/>
        <v>0.28</v>
      </c>
      <c r="AX20" s="84" t="s">
        <v>4</v>
      </c>
      <c r="AY20" s="92">
        <f>MIN(Данные!$F$9:$F$108)</f>
        <v>0.02</v>
      </c>
      <c r="AZ20" s="92">
        <f>MAX(Данные!$F$9:$F$108)</f>
        <v>0.98</v>
      </c>
      <c r="BA20" s="92">
        <f ca="1">MIN(OFFSET($I$17,$D$4,3,10))</f>
        <v>0.02</v>
      </c>
      <c r="BB20" s="92">
        <f ca="1">MAX(OFFSET($I$17,$D$4,3,10))</f>
        <v>0.98</v>
      </c>
      <c r="BC20" s="92">
        <f>AVERAGE(Данные!$F$9:$F$108)</f>
        <v>0.48150000000000015</v>
      </c>
      <c r="BD20" s="92">
        <f>Данные!$F$6</f>
        <v>0.5</v>
      </c>
      <c r="BE20" s="89">
        <f>AY20</f>
        <v>0.02</v>
      </c>
      <c r="BF20" s="86">
        <f>BA20-AY20</f>
        <v>0</v>
      </c>
      <c r="BG20" s="86">
        <f>BB20-BA20</f>
        <v>0.96</v>
      </c>
      <c r="BH20" s="86">
        <f>AZ20-BB20</f>
        <v>0</v>
      </c>
    </row>
    <row r="21" spans="2:60" ht="12.75">
      <c r="B21" s="4">
        <f>Данные!B12</f>
        <v>4</v>
      </c>
      <c r="C21" s="4" t="str">
        <f>Данные!C12</f>
        <v>Продукт 4</v>
      </c>
      <c r="D21" s="4">
        <f ca="1">OFFSET(Данные!$C12,0,критерий_сортировки)</f>
        <v>366</v>
      </c>
      <c r="E21" s="27">
        <f t="shared" si="0"/>
        <v>366.000004</v>
      </c>
      <c r="F21" s="28">
        <f t="shared" si="1"/>
        <v>1355.000094</v>
      </c>
      <c r="G21" s="28">
        <f t="shared" si="2"/>
        <v>94</v>
      </c>
      <c r="I21" s="4" t="str">
        <f ca="1">OFFSET(Данные!C$8,$G21,0)</f>
        <v>Продукт 94</v>
      </c>
      <c r="J21" s="27">
        <f ca="1">OFFSET(Данные!D$8,$G21,0)</f>
        <v>1355</v>
      </c>
      <c r="K21" s="27">
        <f ca="1">OFFSET(Данные!E$8,$G21,0)</f>
        <v>423</v>
      </c>
      <c r="L21" s="5">
        <f ca="1">OFFSET(Данные!F$8,$G21,0)</f>
        <v>0.63</v>
      </c>
      <c r="M21" s="27">
        <f ca="1">OFFSET(Данные!G$8,$G21,0)</f>
        <v>705</v>
      </c>
      <c r="N21" s="27">
        <f ca="1">OFFSET(Данные!H$8,$G21,0)</f>
        <v>482.87</v>
      </c>
      <c r="P21" s="68">
        <f>IF(Дашборд!$E10&gt;=Данные!$D$6,Дашборд!$E10,NA())</f>
        <v>1355</v>
      </c>
      <c r="Q21" s="68" t="e">
        <f>IF(Дашборд!$E10&lt;Данные!$D$6,Дашборд!$E10,NA())</f>
        <v>#N/A</v>
      </c>
      <c r="R21" s="69">
        <f t="shared" si="3"/>
        <v>725.06</v>
      </c>
      <c r="S21" s="69">
        <f t="shared" si="4"/>
        <v>107</v>
      </c>
      <c r="T21" s="69">
        <f t="shared" si="5"/>
        <v>1407</v>
      </c>
      <c r="U21" s="68">
        <f>IF(Дашборд!$H10&gt;=Данные!$E$6,Дашборд!$H10,NA())</f>
        <v>423</v>
      </c>
      <c r="V21" s="68" t="e">
        <f>IF(Дашборд!$H10&lt;Данные!$E$6,Дашборд!$H10,NA())</f>
        <v>#N/A</v>
      </c>
      <c r="W21" s="69">
        <f t="shared" si="6"/>
        <v>242.65</v>
      </c>
      <c r="X21" s="69">
        <f t="shared" si="7"/>
        <v>5</v>
      </c>
      <c r="Y21" s="69">
        <f t="shared" si="8"/>
        <v>489</v>
      </c>
      <c r="Z21" s="70">
        <f>IF(Дашборд!$K10&gt;=Данные!$F$6,Дашборд!$K10,NA())</f>
        <v>0.63</v>
      </c>
      <c r="AA21" s="70" t="e">
        <f>IF(Дашборд!$K10&lt;Данные!$F$6,Дашборд!$K10,NA())</f>
        <v>#N/A</v>
      </c>
      <c r="AB21" s="70">
        <f t="shared" si="9"/>
        <v>0.4815</v>
      </c>
      <c r="AC21" s="70">
        <f t="shared" si="10"/>
        <v>0.02</v>
      </c>
      <c r="AD21" s="70">
        <f t="shared" si="11"/>
        <v>0.98</v>
      </c>
      <c r="AE21" s="68">
        <f>IF(Дашборд!$N10&gt;=Данные!$G$6,Дашборд!$N10,NA())</f>
        <v>705</v>
      </c>
      <c r="AF21" s="68" t="e">
        <f>IF(Дашборд!$N10&lt;Данные!$G$6,Дашборд!$N10,NA())</f>
        <v>#N/A</v>
      </c>
      <c r="AG21" s="69">
        <f t="shared" si="12"/>
        <v>505.62</v>
      </c>
      <c r="AH21" s="69">
        <f t="shared" si="13"/>
        <v>256</v>
      </c>
      <c r="AI21" s="69">
        <f t="shared" si="14"/>
        <v>731</v>
      </c>
      <c r="AJ21" s="68">
        <f>IF(Дашборд!$Q10&gt;=Данные!$H$6,Дашборд!$Q10,NA())</f>
        <v>482.87</v>
      </c>
      <c r="AK21" s="68" t="e">
        <f>IF(Дашборд!$Q10&lt;Данные!$H$6,Дашборд!$Q10,NA())</f>
        <v>#N/A</v>
      </c>
      <c r="AL21" s="69">
        <f t="shared" si="15"/>
        <v>490.4863</v>
      </c>
      <c r="AM21" s="69">
        <f t="shared" si="16"/>
        <v>0.33</v>
      </c>
      <c r="AN21" s="69">
        <f t="shared" si="17"/>
        <v>999.49</v>
      </c>
      <c r="AP21" s="63">
        <v>4</v>
      </c>
      <c r="AR21" s="4">
        <f ca="1">OFFSET(Данные!C12,0,Расчеты!$D$14)</f>
        <v>366</v>
      </c>
      <c r="AS21" s="4">
        <f ca="1">OFFSET(Данные!C12,0,Расчеты!$D$15)</f>
        <v>0.35</v>
      </c>
      <c r="AU21" s="4">
        <f ca="1" t="shared" si="18"/>
        <v>1355</v>
      </c>
      <c r="AV21" s="4">
        <f ca="1" t="shared" si="19"/>
        <v>0.63</v>
      </c>
      <c r="AX21" s="84" t="s">
        <v>5</v>
      </c>
      <c r="AY21" s="92">
        <f>MIN(Данные!$G$9:$G$108)</f>
        <v>256</v>
      </c>
      <c r="AZ21" s="92">
        <f>MAX(Данные!$G$9:$G$108)</f>
        <v>731</v>
      </c>
      <c r="BA21" s="92">
        <f ca="1">MIN(OFFSET($I$17,$D$4,4,10))</f>
        <v>266</v>
      </c>
      <c r="BB21" s="92">
        <f ca="1">MAX(OFFSET($I$17,$D$4,4,10))</f>
        <v>705</v>
      </c>
      <c r="BC21" s="92">
        <f>AVERAGE(Данные!$G$9:$G$108)</f>
        <v>505.62</v>
      </c>
      <c r="BD21" s="92">
        <f>Данные!$G$6</f>
        <v>700</v>
      </c>
      <c r="BE21" s="89">
        <f>IF(AY21&lt;0,0,AY21)</f>
        <v>256</v>
      </c>
      <c r="BF21" s="86">
        <f>BA21-AY21</f>
        <v>10</v>
      </c>
      <c r="BG21" s="86">
        <f>BB21-BA21</f>
        <v>439</v>
      </c>
      <c r="BH21" s="86">
        <f>AZ21-BB21</f>
        <v>26</v>
      </c>
    </row>
    <row r="22" spans="2:60" ht="12.75">
      <c r="B22" s="4">
        <f>Данные!B13</f>
        <v>5</v>
      </c>
      <c r="C22" s="4" t="str">
        <f>Данные!C13</f>
        <v>Продукт 5</v>
      </c>
      <c r="D22" s="4">
        <f ca="1">OFFSET(Данные!$C13,0,критерий_сортировки)</f>
        <v>1345</v>
      </c>
      <c r="E22" s="27">
        <f t="shared" si="0"/>
        <v>1345.000005</v>
      </c>
      <c r="F22" s="28">
        <f t="shared" si="1"/>
        <v>1350.000019</v>
      </c>
      <c r="G22" s="28">
        <f t="shared" si="2"/>
        <v>19</v>
      </c>
      <c r="I22" s="4" t="str">
        <f ca="1">OFFSET(Данные!C$8,$G22,0)</f>
        <v>Продукт 19</v>
      </c>
      <c r="J22" s="27">
        <f ca="1">OFFSET(Данные!D$8,$G22,0)</f>
        <v>1350</v>
      </c>
      <c r="K22" s="27">
        <f ca="1">OFFSET(Данные!E$8,$G22,0)</f>
        <v>398</v>
      </c>
      <c r="L22" s="5">
        <f ca="1">OFFSET(Данные!F$8,$G22,0)</f>
        <v>0.68</v>
      </c>
      <c r="M22" s="27">
        <f ca="1">OFFSET(Данные!G$8,$G22,0)</f>
        <v>677</v>
      </c>
      <c r="N22" s="27">
        <f ca="1">OFFSET(Данные!H$8,$G22,0)</f>
        <v>411.09</v>
      </c>
      <c r="P22" s="68">
        <f>IF(Дашборд!$E11&gt;=Данные!$D$6,Дашборд!$E11,NA())</f>
        <v>1350</v>
      </c>
      <c r="Q22" s="68" t="e">
        <f>IF(Дашборд!$E11&lt;Данные!$D$6,Дашборд!$E11,NA())</f>
        <v>#N/A</v>
      </c>
      <c r="R22" s="69">
        <f t="shared" si="3"/>
        <v>725.06</v>
      </c>
      <c r="S22" s="69">
        <f t="shared" si="4"/>
        <v>107</v>
      </c>
      <c r="T22" s="69">
        <f t="shared" si="5"/>
        <v>1407</v>
      </c>
      <c r="U22" s="68">
        <f>IF(Дашборд!$H11&gt;=Данные!$E$6,Дашборд!$H11,NA())</f>
        <v>398</v>
      </c>
      <c r="V22" s="68" t="e">
        <f>IF(Дашборд!$H11&lt;Данные!$E$6,Дашборд!$H11,NA())</f>
        <v>#N/A</v>
      </c>
      <c r="W22" s="69">
        <f t="shared" si="6"/>
        <v>242.65</v>
      </c>
      <c r="X22" s="69">
        <f t="shared" si="7"/>
        <v>5</v>
      </c>
      <c r="Y22" s="69">
        <f t="shared" si="8"/>
        <v>489</v>
      </c>
      <c r="Z22" s="70">
        <f>IF(Дашборд!$K11&gt;=Данные!$F$6,Дашборд!$K11,NA())</f>
        <v>0.68</v>
      </c>
      <c r="AA22" s="70" t="e">
        <f>IF(Дашборд!$K11&lt;Данные!$F$6,Дашборд!$K11,NA())</f>
        <v>#N/A</v>
      </c>
      <c r="AB22" s="70">
        <f t="shared" si="9"/>
        <v>0.4815</v>
      </c>
      <c r="AC22" s="70">
        <f t="shared" si="10"/>
        <v>0.02</v>
      </c>
      <c r="AD22" s="70">
        <f t="shared" si="11"/>
        <v>0.98</v>
      </c>
      <c r="AE22" s="68" t="e">
        <f>IF(Дашборд!$N11&gt;=Данные!$G$6,Дашборд!$N11,NA())</f>
        <v>#N/A</v>
      </c>
      <c r="AF22" s="68">
        <f>IF(Дашборд!$N11&lt;Данные!$G$6,Дашборд!$N11,NA())</f>
        <v>677</v>
      </c>
      <c r="AG22" s="69">
        <f t="shared" si="12"/>
        <v>505.62</v>
      </c>
      <c r="AH22" s="69">
        <f t="shared" si="13"/>
        <v>256</v>
      </c>
      <c r="AI22" s="69">
        <f t="shared" si="14"/>
        <v>731</v>
      </c>
      <c r="AJ22" s="68">
        <f>IF(Дашборд!$Q11&gt;=Данные!$H$6,Дашборд!$Q11,NA())</f>
        <v>411.09</v>
      </c>
      <c r="AK22" s="68" t="e">
        <f>IF(Дашборд!$Q11&lt;Данные!$H$6,Дашборд!$Q11,NA())</f>
        <v>#N/A</v>
      </c>
      <c r="AL22" s="69">
        <f t="shared" si="15"/>
        <v>490.4863</v>
      </c>
      <c r="AM22" s="69">
        <f t="shared" si="16"/>
        <v>0.33</v>
      </c>
      <c r="AN22" s="69">
        <f t="shared" si="17"/>
        <v>999.49</v>
      </c>
      <c r="AP22" s="63">
        <v>5</v>
      </c>
      <c r="AR22" s="4">
        <f ca="1">OFFSET(Данные!C13,0,Расчеты!$D$14)</f>
        <v>1345</v>
      </c>
      <c r="AS22" s="4">
        <f ca="1">OFFSET(Данные!C13,0,Расчеты!$D$15)</f>
        <v>0.58</v>
      </c>
      <c r="AU22" s="4">
        <f ca="1" t="shared" si="18"/>
        <v>1350</v>
      </c>
      <c r="AV22" s="4">
        <f ca="1" t="shared" si="19"/>
        <v>0.68</v>
      </c>
      <c r="AX22" s="85" t="s">
        <v>6</v>
      </c>
      <c r="AY22" s="93">
        <f>MIN(Данные!$H$9:$H$108)</f>
        <v>0.33</v>
      </c>
      <c r="AZ22" s="93">
        <f>MAX(Данные!$H$9:$H$108)</f>
        <v>999.49</v>
      </c>
      <c r="BA22" s="93">
        <f ca="1">MIN(OFFSET($I$17,$D$4,5,10))</f>
        <v>178.96</v>
      </c>
      <c r="BB22" s="93">
        <f ca="1">MAX(OFFSET($I$17,$D$4,5,10))</f>
        <v>876.31</v>
      </c>
      <c r="BC22" s="93">
        <f>AVERAGE(Данные!$H$9:$H$108)</f>
        <v>490.4863000000002</v>
      </c>
      <c r="BD22" s="93">
        <f>Данные!$H$6</f>
        <v>400</v>
      </c>
      <c r="BE22" s="90">
        <f>AY22</f>
        <v>0.33</v>
      </c>
      <c r="BF22" s="87">
        <f>BA22-AY22</f>
        <v>178.63</v>
      </c>
      <c r="BG22" s="87">
        <f>BB22-BA22</f>
        <v>697.3499999999999</v>
      </c>
      <c r="BH22" s="87">
        <f>AZ22-BB22</f>
        <v>123.18000000000006</v>
      </c>
    </row>
    <row r="23" spans="2:48" ht="12.75">
      <c r="B23" s="4">
        <f>Данные!B14</f>
        <v>6</v>
      </c>
      <c r="C23" s="4" t="str">
        <f>Данные!C14</f>
        <v>Продукт 6</v>
      </c>
      <c r="D23" s="4">
        <f ca="1">OFFSET(Данные!$C14,0,критерий_сортировки)</f>
        <v>790</v>
      </c>
      <c r="E23" s="27">
        <f t="shared" si="0"/>
        <v>790.000006</v>
      </c>
      <c r="F23" s="28">
        <f t="shared" si="1"/>
        <v>1345.000005</v>
      </c>
      <c r="G23" s="28">
        <f t="shared" si="2"/>
        <v>5</v>
      </c>
      <c r="I23" s="4" t="str">
        <f ca="1">OFFSET(Данные!C$8,$G23,0)</f>
        <v>Продукт 5</v>
      </c>
      <c r="J23" s="27">
        <f ca="1">OFFSET(Данные!D$8,$G23,0)</f>
        <v>1345</v>
      </c>
      <c r="K23" s="27">
        <f ca="1">OFFSET(Данные!E$8,$G23,0)</f>
        <v>130</v>
      </c>
      <c r="L23" s="5">
        <f ca="1">OFFSET(Данные!F$8,$G23,0)</f>
        <v>0.58</v>
      </c>
      <c r="M23" s="27">
        <f ca="1">OFFSET(Данные!G$8,$G23,0)</f>
        <v>352</v>
      </c>
      <c r="N23" s="27">
        <f ca="1">OFFSET(Данные!H$8,$G23,0)</f>
        <v>477.47</v>
      </c>
      <c r="P23" s="68">
        <f>IF(Дашборд!$E12&gt;=Данные!$D$6,Дашборд!$E12,NA())</f>
        <v>1345</v>
      </c>
      <c r="Q23" s="68" t="e">
        <f>IF(Дашборд!$E12&lt;Данные!$D$6,Дашборд!$E12,NA())</f>
        <v>#N/A</v>
      </c>
      <c r="R23" s="69">
        <f t="shared" si="3"/>
        <v>725.06</v>
      </c>
      <c r="S23" s="69">
        <f t="shared" si="4"/>
        <v>107</v>
      </c>
      <c r="T23" s="69">
        <f t="shared" si="5"/>
        <v>1407</v>
      </c>
      <c r="U23" s="68" t="e">
        <f>IF(Дашборд!$H12&gt;=Данные!$E$6,Дашборд!$H12,NA())</f>
        <v>#N/A</v>
      </c>
      <c r="V23" s="68">
        <f>IF(Дашборд!$H12&lt;Данные!$E$6,Дашборд!$H12,NA())</f>
        <v>130</v>
      </c>
      <c r="W23" s="69">
        <f t="shared" si="6"/>
        <v>242.65</v>
      </c>
      <c r="X23" s="69">
        <f t="shared" si="7"/>
        <v>5</v>
      </c>
      <c r="Y23" s="69">
        <f t="shared" si="8"/>
        <v>489</v>
      </c>
      <c r="Z23" s="70">
        <f>IF(Дашборд!$K12&gt;=Данные!$F$6,Дашборд!$K12,NA())</f>
        <v>0.58</v>
      </c>
      <c r="AA23" s="70" t="e">
        <f>IF(Дашборд!$K12&lt;Данные!$F$6,Дашборд!$K12,NA())</f>
        <v>#N/A</v>
      </c>
      <c r="AB23" s="70">
        <f t="shared" si="9"/>
        <v>0.4815</v>
      </c>
      <c r="AC23" s="70">
        <f t="shared" si="10"/>
        <v>0.02</v>
      </c>
      <c r="AD23" s="70">
        <f t="shared" si="11"/>
        <v>0.98</v>
      </c>
      <c r="AE23" s="68" t="e">
        <f>IF(Дашборд!$N12&gt;=Данные!$G$6,Дашборд!$N12,NA())</f>
        <v>#N/A</v>
      </c>
      <c r="AF23" s="68">
        <f>IF(Дашборд!$N12&lt;Данные!$G$6,Дашборд!$N12,NA())</f>
        <v>352</v>
      </c>
      <c r="AG23" s="69">
        <f t="shared" si="12"/>
        <v>505.62</v>
      </c>
      <c r="AH23" s="69">
        <f t="shared" si="13"/>
        <v>256</v>
      </c>
      <c r="AI23" s="69">
        <f t="shared" si="14"/>
        <v>731</v>
      </c>
      <c r="AJ23" s="68">
        <f>IF(Дашборд!$Q12&gt;=Данные!$H$6,Дашборд!$Q12,NA())</f>
        <v>477.47</v>
      </c>
      <c r="AK23" s="68" t="e">
        <f>IF(Дашборд!$Q12&lt;Данные!$H$6,Дашборд!$Q12,NA())</f>
        <v>#N/A</v>
      </c>
      <c r="AL23" s="69">
        <f t="shared" si="15"/>
        <v>490.4863</v>
      </c>
      <c r="AM23" s="69">
        <f t="shared" si="16"/>
        <v>0.33</v>
      </c>
      <c r="AN23" s="69">
        <f t="shared" si="17"/>
        <v>999.49</v>
      </c>
      <c r="AP23" s="63">
        <v>6</v>
      </c>
      <c r="AR23" s="4">
        <f ca="1">OFFSET(Данные!C14,0,Расчеты!$D$14)</f>
        <v>790</v>
      </c>
      <c r="AS23" s="4">
        <f ca="1">OFFSET(Данные!C14,0,Расчеты!$D$15)</f>
        <v>0.97</v>
      </c>
      <c r="AU23" s="4">
        <f ca="1" t="shared" si="18"/>
        <v>1345</v>
      </c>
      <c r="AV23" s="4">
        <f ca="1" t="shared" si="19"/>
        <v>0.58</v>
      </c>
    </row>
    <row r="24" spans="2:56" ht="12.75">
      <c r="B24" s="4">
        <f>Данные!B15</f>
        <v>7</v>
      </c>
      <c r="C24" s="4" t="str">
        <f>Данные!C15</f>
        <v>Продукт 7</v>
      </c>
      <c r="D24" s="4">
        <f ca="1">OFFSET(Данные!$C15,0,критерий_сортировки)</f>
        <v>1269</v>
      </c>
      <c r="E24" s="27">
        <f t="shared" si="0"/>
        <v>1269.000007</v>
      </c>
      <c r="F24" s="28">
        <f t="shared" si="1"/>
        <v>1339.000025</v>
      </c>
      <c r="G24" s="28">
        <f t="shared" si="2"/>
        <v>25</v>
      </c>
      <c r="I24" s="4" t="str">
        <f ca="1">OFFSET(Данные!C$8,$G24,0)</f>
        <v>Продукт 25</v>
      </c>
      <c r="J24" s="27">
        <f ca="1">OFFSET(Данные!D$8,$G24,0)</f>
        <v>1339</v>
      </c>
      <c r="K24" s="27">
        <f ca="1">OFFSET(Данные!E$8,$G24,0)</f>
        <v>379</v>
      </c>
      <c r="L24" s="5">
        <f ca="1">OFFSET(Данные!F$8,$G24,0)</f>
        <v>0.98</v>
      </c>
      <c r="M24" s="27">
        <f ca="1">OFFSET(Данные!G$8,$G24,0)</f>
        <v>494</v>
      </c>
      <c r="N24" s="27">
        <f ca="1">OFFSET(Данные!H$8,$G24,0)</f>
        <v>336.15</v>
      </c>
      <c r="P24" s="68">
        <f>IF(Дашборд!$E13&gt;=Данные!$D$6,Дашборд!$E13,NA())</f>
        <v>1339</v>
      </c>
      <c r="Q24" s="68" t="e">
        <f>IF(Дашборд!$E13&lt;Данные!$D$6,Дашборд!$E13,NA())</f>
        <v>#N/A</v>
      </c>
      <c r="R24" s="69">
        <f t="shared" si="3"/>
        <v>725.06</v>
      </c>
      <c r="S24" s="69">
        <f t="shared" si="4"/>
        <v>107</v>
      </c>
      <c r="T24" s="69">
        <f t="shared" si="5"/>
        <v>1407</v>
      </c>
      <c r="U24" s="68">
        <f>IF(Дашборд!$H13&gt;=Данные!$E$6,Дашборд!$H13,NA())</f>
        <v>379</v>
      </c>
      <c r="V24" s="68" t="e">
        <f>IF(Дашборд!$H13&lt;Данные!$E$6,Дашборд!$H13,NA())</f>
        <v>#N/A</v>
      </c>
      <c r="W24" s="69">
        <f t="shared" si="6"/>
        <v>242.65</v>
      </c>
      <c r="X24" s="69">
        <f t="shared" si="7"/>
        <v>5</v>
      </c>
      <c r="Y24" s="69">
        <f t="shared" si="8"/>
        <v>489</v>
      </c>
      <c r="Z24" s="70">
        <f>IF(Дашборд!$K13&gt;=Данные!$F$6,Дашборд!$K13,NA())</f>
        <v>0.98</v>
      </c>
      <c r="AA24" s="70" t="e">
        <f>IF(Дашборд!$K13&lt;Данные!$F$6,Дашборд!$K13,NA())</f>
        <v>#N/A</v>
      </c>
      <c r="AB24" s="70">
        <f t="shared" si="9"/>
        <v>0.4815</v>
      </c>
      <c r="AC24" s="70">
        <f t="shared" si="10"/>
        <v>0.02</v>
      </c>
      <c r="AD24" s="70">
        <f t="shared" si="11"/>
        <v>0.98</v>
      </c>
      <c r="AE24" s="68" t="e">
        <f>IF(Дашборд!$N13&gt;=Данные!$G$6,Дашборд!$N13,NA())</f>
        <v>#N/A</v>
      </c>
      <c r="AF24" s="68">
        <f>IF(Дашборд!$N13&lt;Данные!$G$6,Дашборд!$N13,NA())</f>
        <v>494</v>
      </c>
      <c r="AG24" s="69">
        <f t="shared" si="12"/>
        <v>505.62</v>
      </c>
      <c r="AH24" s="69">
        <f t="shared" si="13"/>
        <v>256</v>
      </c>
      <c r="AI24" s="69">
        <f t="shared" si="14"/>
        <v>731</v>
      </c>
      <c r="AJ24" s="68" t="e">
        <f>IF(Дашборд!$Q13&gt;=Данные!$H$6,Дашборд!$Q13,NA())</f>
        <v>#N/A</v>
      </c>
      <c r="AK24" s="68">
        <f>IF(Дашборд!$Q13&lt;Данные!$H$6,Дашборд!$Q13,NA())</f>
        <v>336.15</v>
      </c>
      <c r="AL24" s="69">
        <f t="shared" si="15"/>
        <v>490.4863</v>
      </c>
      <c r="AM24" s="69">
        <f t="shared" si="16"/>
        <v>0.33</v>
      </c>
      <c r="AN24" s="69">
        <f t="shared" si="17"/>
        <v>999.49</v>
      </c>
      <c r="AP24" s="63">
        <v>7</v>
      </c>
      <c r="AR24" s="4">
        <f ca="1">OFFSET(Данные!C15,0,Расчеты!$D$14)</f>
        <v>1269</v>
      </c>
      <c r="AS24" s="4">
        <f ca="1">OFFSET(Данные!C15,0,Расчеты!$D$15)</f>
        <v>0.78</v>
      </c>
      <c r="AU24" s="4">
        <f ca="1">OFFSET($I23,$D$4,$D$14)</f>
        <v>1339</v>
      </c>
      <c r="AV24" s="4">
        <f ca="1" t="shared" si="19"/>
        <v>0.98</v>
      </c>
      <c r="BC24">
        <v>1</v>
      </c>
      <c r="BD24">
        <v>1</v>
      </c>
    </row>
    <row r="25" spans="2:48" ht="12.75">
      <c r="B25" s="4">
        <f>Данные!B16</f>
        <v>8</v>
      </c>
      <c r="C25" s="4" t="str">
        <f>Данные!C16</f>
        <v>Продукт 8</v>
      </c>
      <c r="D25" s="4">
        <f ca="1">OFFSET(Данные!$C16,0,критерий_сортировки)</f>
        <v>107</v>
      </c>
      <c r="E25" s="27">
        <f t="shared" si="0"/>
        <v>107.000008</v>
      </c>
      <c r="F25" s="28">
        <f t="shared" si="1"/>
        <v>1338.0001</v>
      </c>
      <c r="G25" s="28">
        <f t="shared" si="2"/>
        <v>100</v>
      </c>
      <c r="I25" s="4" t="str">
        <f ca="1">OFFSET(Данные!C$8,$G25,0)</f>
        <v>Продукт 100</v>
      </c>
      <c r="J25" s="27">
        <f ca="1">OFFSET(Данные!D$8,$G25,0)</f>
        <v>1338</v>
      </c>
      <c r="K25" s="27">
        <f ca="1">OFFSET(Данные!E$8,$G25,0)</f>
        <v>183</v>
      </c>
      <c r="L25" s="5">
        <f ca="1">OFFSET(Данные!F$8,$G25,0)</f>
        <v>0.28</v>
      </c>
      <c r="M25" s="27">
        <f ca="1">OFFSET(Данные!G$8,$G25,0)</f>
        <v>646</v>
      </c>
      <c r="N25" s="27">
        <f ca="1">OFFSET(Данные!H$8,$G25,0)</f>
        <v>343.29</v>
      </c>
      <c r="P25" s="68">
        <f>IF(Дашборд!$E14&gt;=Данные!$D$6,Дашборд!$E14,NA())</f>
        <v>1338</v>
      </c>
      <c r="Q25" s="68" t="e">
        <f>IF(Дашборд!$E14&lt;Данные!$D$6,Дашборд!$E14,NA())</f>
        <v>#N/A</v>
      </c>
      <c r="R25" s="69">
        <f t="shared" si="3"/>
        <v>725.06</v>
      </c>
      <c r="S25" s="69">
        <f t="shared" si="4"/>
        <v>107</v>
      </c>
      <c r="T25" s="69">
        <f t="shared" si="5"/>
        <v>1407</v>
      </c>
      <c r="U25" s="68" t="e">
        <f>IF(Дашборд!$H14&gt;=Данные!$E$6,Дашборд!$H14,NA())</f>
        <v>#N/A</v>
      </c>
      <c r="V25" s="68">
        <f>IF(Дашборд!$H14&lt;Данные!$E$6,Дашборд!$H14,NA())</f>
        <v>183</v>
      </c>
      <c r="W25" s="69">
        <f t="shared" si="6"/>
        <v>242.65</v>
      </c>
      <c r="X25" s="69">
        <f t="shared" si="7"/>
        <v>5</v>
      </c>
      <c r="Y25" s="69">
        <f t="shared" si="8"/>
        <v>489</v>
      </c>
      <c r="Z25" s="70" t="e">
        <f>IF(Дашборд!$K14&gt;=Данные!$F$6,Дашборд!$K14,NA())</f>
        <v>#N/A</v>
      </c>
      <c r="AA25" s="70">
        <f>IF(Дашборд!$K14&lt;Данные!$F$6,Дашборд!$K14,NA())</f>
        <v>0.28</v>
      </c>
      <c r="AB25" s="70">
        <f t="shared" si="9"/>
        <v>0.4815</v>
      </c>
      <c r="AC25" s="70">
        <f t="shared" si="10"/>
        <v>0.02</v>
      </c>
      <c r="AD25" s="70">
        <f t="shared" si="11"/>
        <v>0.98</v>
      </c>
      <c r="AE25" s="68" t="e">
        <f>IF(Дашборд!$N14&gt;=Данные!$G$6,Дашборд!$N14,NA())</f>
        <v>#N/A</v>
      </c>
      <c r="AF25" s="68">
        <f>IF(Дашборд!$N14&lt;Данные!$G$6,Дашборд!$N14,NA())</f>
        <v>646</v>
      </c>
      <c r="AG25" s="69">
        <f t="shared" si="12"/>
        <v>505.62</v>
      </c>
      <c r="AH25" s="69">
        <f t="shared" si="13"/>
        <v>256</v>
      </c>
      <c r="AI25" s="69">
        <f t="shared" si="14"/>
        <v>731</v>
      </c>
      <c r="AJ25" s="68" t="e">
        <f>IF(Дашборд!$Q14&gt;=Данные!$H$6,Дашборд!$Q14,NA())</f>
        <v>#N/A</v>
      </c>
      <c r="AK25" s="68">
        <f>IF(Дашборд!$Q14&lt;Данные!$H$6,Дашборд!$Q14,NA())</f>
        <v>343.29</v>
      </c>
      <c r="AL25" s="69">
        <f t="shared" si="15"/>
        <v>490.4863</v>
      </c>
      <c r="AM25" s="69">
        <f t="shared" si="16"/>
        <v>0.33</v>
      </c>
      <c r="AN25" s="69">
        <f t="shared" si="17"/>
        <v>999.49</v>
      </c>
      <c r="AP25" s="63">
        <v>8</v>
      </c>
      <c r="AR25" s="4">
        <f ca="1">OFFSET(Данные!C16,0,Расчеты!$D$14)</f>
        <v>107</v>
      </c>
      <c r="AS25" s="4">
        <f ca="1">OFFSET(Данные!C16,0,Расчеты!$D$15)</f>
        <v>0.59</v>
      </c>
      <c r="AU25" s="4">
        <f ca="1" t="shared" si="18"/>
        <v>1338</v>
      </c>
      <c r="AV25" s="4">
        <f ca="1" t="shared" si="19"/>
        <v>0.28</v>
      </c>
    </row>
    <row r="26" spans="2:48" ht="12.75">
      <c r="B26" s="4">
        <f>Данные!B17</f>
        <v>9</v>
      </c>
      <c r="C26" s="4" t="str">
        <f>Данные!C17</f>
        <v>Продукт 9</v>
      </c>
      <c r="D26" s="4">
        <f ca="1">OFFSET(Данные!$C17,0,критерий_сортировки)</f>
        <v>501</v>
      </c>
      <c r="E26" s="27">
        <f t="shared" si="0"/>
        <v>501.000009</v>
      </c>
      <c r="F26" s="28">
        <f t="shared" si="1"/>
        <v>1338.000042</v>
      </c>
      <c r="G26" s="28">
        <f t="shared" si="2"/>
        <v>42</v>
      </c>
      <c r="I26" s="4" t="str">
        <f ca="1">OFFSET(Данные!C$8,$G26,0)</f>
        <v>Продукт 42</v>
      </c>
      <c r="J26" s="27">
        <f ca="1">OFFSET(Данные!D$8,$G26,0)</f>
        <v>1338</v>
      </c>
      <c r="K26" s="27">
        <f ca="1">OFFSET(Данные!E$8,$G26,0)</f>
        <v>261</v>
      </c>
      <c r="L26" s="5">
        <f ca="1">OFFSET(Данные!F$8,$G26,0)</f>
        <v>0.86</v>
      </c>
      <c r="M26" s="27">
        <f ca="1">OFFSET(Данные!G$8,$G26,0)</f>
        <v>648</v>
      </c>
      <c r="N26" s="27">
        <f ca="1">OFFSET(Данные!H$8,$G26,0)</f>
        <v>218.2</v>
      </c>
      <c r="P26" s="68">
        <f>IF(Дашборд!$E15&gt;=Данные!$D$6,Дашборд!$E15,NA())</f>
        <v>1338</v>
      </c>
      <c r="Q26" s="68" t="e">
        <f>IF(Дашборд!$E15&lt;Данные!$D$6,Дашборд!$E15,NA())</f>
        <v>#N/A</v>
      </c>
      <c r="R26" s="69">
        <f t="shared" si="3"/>
        <v>725.06</v>
      </c>
      <c r="S26" s="69">
        <f t="shared" si="4"/>
        <v>107</v>
      </c>
      <c r="T26" s="69">
        <f t="shared" si="5"/>
        <v>1407</v>
      </c>
      <c r="U26" s="68">
        <f>IF(Дашборд!$H15&gt;=Данные!$E$6,Дашборд!$H15,NA())</f>
        <v>261</v>
      </c>
      <c r="V26" s="68" t="e">
        <f>IF(Дашборд!$H15&lt;Данные!$E$6,Дашборд!$H15,NA())</f>
        <v>#N/A</v>
      </c>
      <c r="W26" s="69">
        <f t="shared" si="6"/>
        <v>242.65</v>
      </c>
      <c r="X26" s="69">
        <f t="shared" si="7"/>
        <v>5</v>
      </c>
      <c r="Y26" s="69">
        <f t="shared" si="8"/>
        <v>489</v>
      </c>
      <c r="Z26" s="70">
        <f>IF(Дашборд!$K15&gt;=Данные!$F$6,Дашборд!$K15,NA())</f>
        <v>0.86</v>
      </c>
      <c r="AA26" s="70" t="e">
        <f>IF(Дашборд!$K15&lt;Данные!$F$6,Дашборд!$K15,NA())</f>
        <v>#N/A</v>
      </c>
      <c r="AB26" s="70">
        <f t="shared" si="9"/>
        <v>0.4815</v>
      </c>
      <c r="AC26" s="70">
        <f t="shared" si="10"/>
        <v>0.02</v>
      </c>
      <c r="AD26" s="70">
        <f t="shared" si="11"/>
        <v>0.98</v>
      </c>
      <c r="AE26" s="68" t="e">
        <f>IF(Дашборд!$N15&gt;=Данные!$G$6,Дашборд!$N15,NA())</f>
        <v>#N/A</v>
      </c>
      <c r="AF26" s="68">
        <f>IF(Дашборд!$N15&lt;Данные!$G$6,Дашборд!$N15,NA())</f>
        <v>648</v>
      </c>
      <c r="AG26" s="69">
        <f t="shared" si="12"/>
        <v>505.62</v>
      </c>
      <c r="AH26" s="69">
        <f t="shared" si="13"/>
        <v>256</v>
      </c>
      <c r="AI26" s="69">
        <f t="shared" si="14"/>
        <v>731</v>
      </c>
      <c r="AJ26" s="68" t="e">
        <f>IF(Дашборд!$Q15&gt;=Данные!$H$6,Дашборд!$Q15,NA())</f>
        <v>#N/A</v>
      </c>
      <c r="AK26" s="68">
        <f>IF(Дашборд!$Q15&lt;Данные!$H$6,Дашборд!$Q15,NA())</f>
        <v>218.2</v>
      </c>
      <c r="AL26" s="69">
        <f t="shared" si="15"/>
        <v>490.4863</v>
      </c>
      <c r="AM26" s="69">
        <f t="shared" si="16"/>
        <v>0.33</v>
      </c>
      <c r="AN26" s="69">
        <f t="shared" si="17"/>
        <v>999.49</v>
      </c>
      <c r="AP26" s="63">
        <v>9</v>
      </c>
      <c r="AR26" s="4">
        <f ca="1">OFFSET(Данные!C17,0,Расчеты!$D$14)</f>
        <v>501</v>
      </c>
      <c r="AS26" s="4">
        <f ca="1">OFFSET(Данные!C17,0,Расчеты!$D$15)</f>
        <v>0.56</v>
      </c>
      <c r="AU26" s="4">
        <f ca="1" t="shared" si="18"/>
        <v>1338</v>
      </c>
      <c r="AV26" s="4">
        <f ca="1" t="shared" si="19"/>
        <v>0.86</v>
      </c>
    </row>
    <row r="27" spans="2:48" ht="12.75">
      <c r="B27" s="4">
        <f>Данные!B18</f>
        <v>10</v>
      </c>
      <c r="C27" s="4" t="str">
        <f>Данные!C18</f>
        <v>Продукт 10</v>
      </c>
      <c r="D27" s="4">
        <f ca="1">OFFSET(Данные!$C18,0,критерий_сортировки)</f>
        <v>953</v>
      </c>
      <c r="E27" s="27">
        <f t="shared" si="0"/>
        <v>953.00001</v>
      </c>
      <c r="F27" s="28">
        <f t="shared" si="1"/>
        <v>1337.000091</v>
      </c>
      <c r="G27" s="28">
        <f t="shared" si="2"/>
        <v>91</v>
      </c>
      <c r="I27" s="4" t="str">
        <f ca="1">OFFSET(Данные!C$8,$G27,0)</f>
        <v>Продукт 91</v>
      </c>
      <c r="J27" s="27">
        <f ca="1">OFFSET(Данные!D$8,$G27,0)</f>
        <v>1337</v>
      </c>
      <c r="K27" s="27">
        <f ca="1">OFFSET(Данные!E$8,$G27,0)</f>
        <v>473</v>
      </c>
      <c r="L27" s="5">
        <f ca="1">OFFSET(Данные!F$8,$G27,0)</f>
        <v>0.24</v>
      </c>
      <c r="M27" s="27">
        <f ca="1">OFFSET(Данные!G$8,$G27,0)</f>
        <v>266</v>
      </c>
      <c r="N27" s="27">
        <f ca="1">OFFSET(Данные!H$8,$G27,0)</f>
        <v>711.8</v>
      </c>
      <c r="P27" s="71">
        <f>IF(Дашборд!$E16&gt;=Данные!$D$6,Дашборд!$E16,NA())</f>
        <v>1337</v>
      </c>
      <c r="Q27" s="71" t="e">
        <f>IF(Дашборд!$E16&lt;Данные!$D$6,Дашборд!$E16,NA())</f>
        <v>#N/A</v>
      </c>
      <c r="R27" s="72">
        <f t="shared" si="3"/>
        <v>725.06</v>
      </c>
      <c r="S27" s="72">
        <f t="shared" si="4"/>
        <v>107</v>
      </c>
      <c r="T27" s="72">
        <f t="shared" si="5"/>
        <v>1407</v>
      </c>
      <c r="U27" s="71">
        <f>IF(Дашборд!$H16&gt;=Данные!$E$6,Дашборд!$H16,NA())</f>
        <v>473</v>
      </c>
      <c r="V27" s="71" t="e">
        <f>IF(Дашборд!$H16&lt;Данные!$E$6,Дашборд!$H16,NA())</f>
        <v>#N/A</v>
      </c>
      <c r="W27" s="72">
        <f t="shared" si="6"/>
        <v>242.65</v>
      </c>
      <c r="X27" s="72">
        <f t="shared" si="7"/>
        <v>5</v>
      </c>
      <c r="Y27" s="72">
        <f t="shared" si="8"/>
        <v>489</v>
      </c>
      <c r="Z27" s="73" t="e">
        <f>IF(Дашборд!$K16&gt;=Данные!$F$6,Дашборд!$K16,NA())</f>
        <v>#N/A</v>
      </c>
      <c r="AA27" s="73">
        <f>IF(Дашборд!$K16&lt;Данные!$F$6,Дашборд!$K16,NA())</f>
        <v>0.24</v>
      </c>
      <c r="AB27" s="73">
        <f t="shared" si="9"/>
        <v>0.4815</v>
      </c>
      <c r="AC27" s="73">
        <f t="shared" si="10"/>
        <v>0.02</v>
      </c>
      <c r="AD27" s="73">
        <f t="shared" si="11"/>
        <v>0.98</v>
      </c>
      <c r="AE27" s="71" t="e">
        <f>IF(Дашборд!$N16&gt;=Данные!$G$6,Дашборд!$N16,NA())</f>
        <v>#N/A</v>
      </c>
      <c r="AF27" s="71">
        <f>IF(Дашборд!$N16&lt;Данные!$G$6,Дашборд!$N16,NA())</f>
        <v>266</v>
      </c>
      <c r="AG27" s="72">
        <f t="shared" si="12"/>
        <v>505.62</v>
      </c>
      <c r="AH27" s="72">
        <f t="shared" si="13"/>
        <v>256</v>
      </c>
      <c r="AI27" s="72">
        <f t="shared" si="14"/>
        <v>731</v>
      </c>
      <c r="AJ27" s="71">
        <f>IF(Дашборд!$Q16&gt;=Данные!$H$6,Дашборд!$Q16,NA())</f>
        <v>711.8</v>
      </c>
      <c r="AK27" s="71" t="e">
        <f>IF(Дашборд!$Q16&lt;Данные!$H$6,Дашборд!$Q16,NA())</f>
        <v>#N/A</v>
      </c>
      <c r="AL27" s="72">
        <f t="shared" si="15"/>
        <v>490.4863</v>
      </c>
      <c r="AM27" s="72">
        <f t="shared" si="16"/>
        <v>0.33</v>
      </c>
      <c r="AN27" s="72">
        <f t="shared" si="17"/>
        <v>999.49</v>
      </c>
      <c r="AP27" s="64">
        <v>10</v>
      </c>
      <c r="AR27" s="4">
        <f ca="1">OFFSET(Данные!C18,0,Расчеты!$D$14)</f>
        <v>953</v>
      </c>
      <c r="AS27" s="4">
        <f ca="1">OFFSET(Данные!C18,0,Расчеты!$D$15)</f>
        <v>0.05</v>
      </c>
      <c r="AU27" s="29">
        <f ca="1">OFFSET($I26,$D$4,$D$14)</f>
        <v>1337</v>
      </c>
      <c r="AV27" s="29">
        <f ca="1">OFFSET($I26,$D$4,$D$15)</f>
        <v>0.24</v>
      </c>
    </row>
    <row r="28" spans="2:45" ht="12.75">
      <c r="B28" s="4">
        <f>Данные!B19</f>
        <v>11</v>
      </c>
      <c r="C28" s="4" t="str">
        <f>Данные!C19</f>
        <v>Продукт 11</v>
      </c>
      <c r="D28" s="4">
        <f ca="1">OFFSET(Данные!$C19,0,критерий_сортировки)</f>
        <v>783</v>
      </c>
      <c r="E28" s="27">
        <f t="shared" si="0"/>
        <v>783.000011</v>
      </c>
      <c r="F28" s="28">
        <f t="shared" si="1"/>
        <v>1330.000033</v>
      </c>
      <c r="G28" s="28">
        <f t="shared" si="2"/>
        <v>33</v>
      </c>
      <c r="I28" s="4" t="str">
        <f ca="1">OFFSET(Данные!C$8,$G28,0)</f>
        <v>Продукт 33</v>
      </c>
      <c r="J28" s="27">
        <f ca="1">OFFSET(Данные!D$8,$G28,0)</f>
        <v>1330</v>
      </c>
      <c r="K28" s="27">
        <f ca="1">OFFSET(Данные!E$8,$G28,0)</f>
        <v>385</v>
      </c>
      <c r="L28" s="5">
        <f ca="1">OFFSET(Данные!F$8,$G28,0)</f>
        <v>0.25</v>
      </c>
      <c r="M28" s="27">
        <f ca="1">OFFSET(Данные!G$8,$G28,0)</f>
        <v>550</v>
      </c>
      <c r="N28" s="27">
        <f ca="1">OFFSET(Данные!H$8,$G28,0)</f>
        <v>117.46</v>
      </c>
      <c r="AR28" s="4">
        <f ca="1">OFFSET(Данные!C19,0,Расчеты!$D$14)</f>
        <v>783</v>
      </c>
      <c r="AS28" s="4">
        <f ca="1">OFFSET(Данные!C19,0,Расчеты!$D$15)</f>
        <v>0.18</v>
      </c>
    </row>
    <row r="29" spans="2:45" ht="12.75">
      <c r="B29" s="4">
        <f>Данные!B20</f>
        <v>12</v>
      </c>
      <c r="C29" s="4" t="str">
        <f>Данные!C20</f>
        <v>Продукт 12</v>
      </c>
      <c r="D29" s="4">
        <f ca="1">OFFSET(Данные!$C20,0,критерий_сортировки)</f>
        <v>669</v>
      </c>
      <c r="E29" s="27">
        <f t="shared" si="0"/>
        <v>669.000012</v>
      </c>
      <c r="F29" s="28">
        <f t="shared" si="1"/>
        <v>1319.000087</v>
      </c>
      <c r="G29" s="28">
        <f t="shared" si="2"/>
        <v>87</v>
      </c>
      <c r="I29" s="4" t="str">
        <f ca="1">OFFSET(Данные!C$8,$G29,0)</f>
        <v>Продукт 87</v>
      </c>
      <c r="J29" s="27">
        <f ca="1">OFFSET(Данные!D$8,$G29,0)</f>
        <v>1319</v>
      </c>
      <c r="K29" s="27">
        <f ca="1">OFFSET(Данные!E$8,$G29,0)</f>
        <v>100</v>
      </c>
      <c r="L29" s="5">
        <f ca="1">OFFSET(Данные!F$8,$G29,0)</f>
        <v>0.79</v>
      </c>
      <c r="M29" s="27">
        <f ca="1">OFFSET(Данные!G$8,$G29,0)</f>
        <v>269</v>
      </c>
      <c r="N29" s="27">
        <f ca="1">OFFSET(Данные!H$8,$G29,0)</f>
        <v>365.38</v>
      </c>
      <c r="AR29" s="4">
        <f ca="1">OFFSET(Данные!C20,0,Расчеты!$D$14)</f>
        <v>669</v>
      </c>
      <c r="AS29" s="4">
        <f ca="1">OFFSET(Данные!C20,0,Расчеты!$D$15)</f>
        <v>0.22</v>
      </c>
    </row>
    <row r="30" spans="2:45" ht="12.75">
      <c r="B30" s="4">
        <f>Данные!B21</f>
        <v>13</v>
      </c>
      <c r="C30" s="4" t="str">
        <f>Данные!C21</f>
        <v>Продукт 13</v>
      </c>
      <c r="D30" s="4">
        <f ca="1">OFFSET(Данные!$C21,0,критерий_сортировки)</f>
        <v>447</v>
      </c>
      <c r="E30" s="27">
        <f t="shared" si="0"/>
        <v>447.000013</v>
      </c>
      <c r="F30" s="28">
        <f t="shared" si="1"/>
        <v>1270.000031</v>
      </c>
      <c r="G30" s="28">
        <f t="shared" si="2"/>
        <v>31</v>
      </c>
      <c r="I30" s="4" t="str">
        <f ca="1">OFFSET(Данные!C$8,$G30,0)</f>
        <v>Продукт 31</v>
      </c>
      <c r="J30" s="27">
        <f ca="1">OFFSET(Данные!D$8,$G30,0)</f>
        <v>1270</v>
      </c>
      <c r="K30" s="27">
        <f ca="1">OFFSET(Данные!E$8,$G30,0)</f>
        <v>64</v>
      </c>
      <c r="L30" s="5">
        <f ca="1">OFFSET(Данные!F$8,$G30,0)</f>
        <v>0.53</v>
      </c>
      <c r="M30" s="27">
        <f ca="1">OFFSET(Данные!G$8,$G30,0)</f>
        <v>487</v>
      </c>
      <c r="N30" s="27">
        <f ca="1">OFFSET(Данные!H$8,$G30,0)</f>
        <v>259.52</v>
      </c>
      <c r="AR30" s="4">
        <f ca="1">OFFSET(Данные!C21,0,Расчеты!$D$14)</f>
        <v>447</v>
      </c>
      <c r="AS30" s="4">
        <f ca="1">OFFSET(Данные!C21,0,Расчеты!$D$15)</f>
        <v>0.13</v>
      </c>
    </row>
    <row r="31" spans="2:45" ht="12.75">
      <c r="B31" s="4">
        <f>Данные!B22</f>
        <v>14</v>
      </c>
      <c r="C31" s="4" t="str">
        <f>Данные!C22</f>
        <v>Продукт 14</v>
      </c>
      <c r="D31" s="4">
        <f ca="1">OFFSET(Данные!$C22,0,критерий_сортировки)</f>
        <v>682</v>
      </c>
      <c r="E31" s="27">
        <f t="shared" si="0"/>
        <v>682.000014</v>
      </c>
      <c r="F31" s="28">
        <f t="shared" si="1"/>
        <v>1269.000007</v>
      </c>
      <c r="G31" s="28">
        <f t="shared" si="2"/>
        <v>7</v>
      </c>
      <c r="I31" s="4" t="str">
        <f ca="1">OFFSET(Данные!C$8,$G31,0)</f>
        <v>Продукт 7</v>
      </c>
      <c r="J31" s="27">
        <f ca="1">OFFSET(Данные!D$8,$G31,0)</f>
        <v>1269</v>
      </c>
      <c r="K31" s="27">
        <f ca="1">OFFSET(Данные!E$8,$G31,0)</f>
        <v>319</v>
      </c>
      <c r="L31" s="5">
        <f ca="1">OFFSET(Данные!F$8,$G31,0)</f>
        <v>0.78</v>
      </c>
      <c r="M31" s="27">
        <f ca="1">OFFSET(Данные!G$8,$G31,0)</f>
        <v>285</v>
      </c>
      <c r="N31" s="27">
        <f ca="1">OFFSET(Данные!H$8,$G31,0)</f>
        <v>373.29</v>
      </c>
      <c r="AR31" s="4">
        <f ca="1">OFFSET(Данные!C22,0,Расчеты!$D$14)</f>
        <v>682</v>
      </c>
      <c r="AS31" s="4">
        <f ca="1">OFFSET(Данные!C22,0,Расчеты!$D$15)</f>
        <v>0.41</v>
      </c>
    </row>
    <row r="32" spans="2:45" ht="12.75">
      <c r="B32" s="4">
        <f>Данные!B23</f>
        <v>15</v>
      </c>
      <c r="C32" s="4" t="str">
        <f>Данные!C23</f>
        <v>Продукт 15</v>
      </c>
      <c r="D32" s="4">
        <f ca="1">OFFSET(Данные!$C23,0,критерий_сортировки)</f>
        <v>807</v>
      </c>
      <c r="E32" s="27">
        <f t="shared" si="0"/>
        <v>807.000015</v>
      </c>
      <c r="F32" s="28">
        <f t="shared" si="1"/>
        <v>1236.000068</v>
      </c>
      <c r="G32" s="28">
        <f t="shared" si="2"/>
        <v>68</v>
      </c>
      <c r="I32" s="4" t="str">
        <f ca="1">OFFSET(Данные!C$8,$G32,0)</f>
        <v>Продукт 68</v>
      </c>
      <c r="J32" s="27">
        <f ca="1">OFFSET(Данные!D$8,$G32,0)</f>
        <v>1236</v>
      </c>
      <c r="K32" s="27">
        <f ca="1">OFFSET(Данные!E$8,$G32,0)</f>
        <v>154</v>
      </c>
      <c r="L32" s="5">
        <f ca="1">OFFSET(Данные!F$8,$G32,0)</f>
        <v>0.42</v>
      </c>
      <c r="M32" s="27">
        <f ca="1">OFFSET(Данные!G$8,$G32,0)</f>
        <v>672</v>
      </c>
      <c r="N32" s="27">
        <f ca="1">OFFSET(Данные!H$8,$G32,0)</f>
        <v>729.28</v>
      </c>
      <c r="AR32" s="4">
        <f ca="1">OFFSET(Данные!C23,0,Расчеты!$D$14)</f>
        <v>807</v>
      </c>
      <c r="AS32" s="4">
        <f ca="1">OFFSET(Данные!C23,0,Расчеты!$D$15)</f>
        <v>0.91</v>
      </c>
    </row>
    <row r="33" spans="2:45" ht="12.75">
      <c r="B33" s="4">
        <f>Данные!B24</f>
        <v>16</v>
      </c>
      <c r="C33" s="4" t="str">
        <f>Данные!C24</f>
        <v>Продукт 16</v>
      </c>
      <c r="D33" s="4">
        <f ca="1">OFFSET(Данные!$C24,0,критерий_сортировки)</f>
        <v>1180</v>
      </c>
      <c r="E33" s="27">
        <f t="shared" si="0"/>
        <v>1180.000016</v>
      </c>
      <c r="F33" s="28">
        <f t="shared" si="1"/>
        <v>1204.000047</v>
      </c>
      <c r="G33" s="28">
        <f t="shared" si="2"/>
        <v>47</v>
      </c>
      <c r="I33" s="4" t="str">
        <f ca="1">OFFSET(Данные!C$8,$G33,0)</f>
        <v>Продукт 47</v>
      </c>
      <c r="J33" s="27">
        <f ca="1">OFFSET(Данные!D$8,$G33,0)</f>
        <v>1204</v>
      </c>
      <c r="K33" s="27">
        <f ca="1">OFFSET(Данные!E$8,$G33,0)</f>
        <v>227</v>
      </c>
      <c r="L33" s="5">
        <f ca="1">OFFSET(Данные!F$8,$G33,0)</f>
        <v>0.16</v>
      </c>
      <c r="M33" s="27">
        <f ca="1">OFFSET(Данные!G$8,$G33,0)</f>
        <v>454</v>
      </c>
      <c r="N33" s="27">
        <f ca="1">OFFSET(Данные!H$8,$G33,0)</f>
        <v>973.82</v>
      </c>
      <c r="AR33" s="4">
        <f ca="1">OFFSET(Данные!C24,0,Расчеты!$D$14)</f>
        <v>1180</v>
      </c>
      <c r="AS33" s="4">
        <f ca="1">OFFSET(Данные!C24,0,Расчеты!$D$15)</f>
        <v>0.43</v>
      </c>
    </row>
    <row r="34" spans="2:45" ht="12.75">
      <c r="B34" s="4">
        <f>Данные!B25</f>
        <v>17</v>
      </c>
      <c r="C34" s="4" t="str">
        <f>Данные!C25</f>
        <v>Продукт 17</v>
      </c>
      <c r="D34" s="4">
        <f ca="1">OFFSET(Данные!$C25,0,критерий_сортировки)</f>
        <v>725</v>
      </c>
      <c r="E34" s="27">
        <f t="shared" si="0"/>
        <v>725.000017</v>
      </c>
      <c r="F34" s="28">
        <f t="shared" si="1"/>
        <v>1195.000022</v>
      </c>
      <c r="G34" s="28">
        <f t="shared" si="2"/>
        <v>22</v>
      </c>
      <c r="I34" s="4" t="str">
        <f ca="1">OFFSET(Данные!C$8,$G34,0)</f>
        <v>Продукт 22</v>
      </c>
      <c r="J34" s="27">
        <f ca="1">OFFSET(Данные!D$8,$G34,0)</f>
        <v>1195</v>
      </c>
      <c r="K34" s="27">
        <f ca="1">OFFSET(Данные!E$8,$G34,0)</f>
        <v>199</v>
      </c>
      <c r="L34" s="5">
        <f ca="1">OFFSET(Данные!F$8,$G34,0)</f>
        <v>0.92</v>
      </c>
      <c r="M34" s="27">
        <f ca="1">OFFSET(Данные!G$8,$G34,0)</f>
        <v>439</v>
      </c>
      <c r="N34" s="27">
        <f ca="1">OFFSET(Данные!H$8,$G34,0)</f>
        <v>209.94</v>
      </c>
      <c r="AR34" s="4">
        <f ca="1">OFFSET(Данные!C25,0,Расчеты!$D$14)</f>
        <v>725</v>
      </c>
      <c r="AS34" s="4">
        <f ca="1">OFFSET(Данные!C25,0,Расчеты!$D$15)</f>
        <v>0.57</v>
      </c>
    </row>
    <row r="35" spans="2:45" ht="12.75">
      <c r="B35" s="4">
        <f>Данные!B26</f>
        <v>18</v>
      </c>
      <c r="C35" s="4" t="str">
        <f>Данные!C26</f>
        <v>Продукт 18</v>
      </c>
      <c r="D35" s="4">
        <f ca="1">OFFSET(Данные!$C26,0,критерий_сортировки)</f>
        <v>522</v>
      </c>
      <c r="E35" s="27">
        <f t="shared" si="0"/>
        <v>522.000018</v>
      </c>
      <c r="F35" s="28">
        <f t="shared" si="1"/>
        <v>1188.000099</v>
      </c>
      <c r="G35" s="28">
        <f t="shared" si="2"/>
        <v>99</v>
      </c>
      <c r="I35" s="4" t="str">
        <f ca="1">OFFSET(Данные!C$8,$G35,0)</f>
        <v>Продукт 99</v>
      </c>
      <c r="J35" s="27">
        <f ca="1">OFFSET(Данные!D$8,$G35,0)</f>
        <v>1188</v>
      </c>
      <c r="K35" s="27">
        <f ca="1">OFFSET(Данные!E$8,$G35,0)</f>
        <v>289</v>
      </c>
      <c r="L35" s="5">
        <f ca="1">OFFSET(Данные!F$8,$G35,0)</f>
        <v>0.39</v>
      </c>
      <c r="M35" s="27">
        <f ca="1">OFFSET(Данные!G$8,$G35,0)</f>
        <v>609</v>
      </c>
      <c r="N35" s="27">
        <f ca="1">OFFSET(Данные!H$8,$G35,0)</f>
        <v>996.63</v>
      </c>
      <c r="AR35" s="4">
        <f ca="1">OFFSET(Данные!C26,0,Расчеты!$D$14)</f>
        <v>522</v>
      </c>
      <c r="AS35" s="4">
        <f ca="1">OFFSET(Данные!C26,0,Расчеты!$D$15)</f>
        <v>0.22</v>
      </c>
    </row>
    <row r="36" spans="2:45" ht="12.75">
      <c r="B36" s="4">
        <f>Данные!B27</f>
        <v>19</v>
      </c>
      <c r="C36" s="4" t="str">
        <f>Данные!C27</f>
        <v>Продукт 19</v>
      </c>
      <c r="D36" s="4">
        <f ca="1">OFFSET(Данные!$C27,0,критерий_сортировки)</f>
        <v>1350</v>
      </c>
      <c r="E36" s="27">
        <f t="shared" si="0"/>
        <v>1350.000019</v>
      </c>
      <c r="F36" s="28">
        <f t="shared" si="1"/>
        <v>1180.000016</v>
      </c>
      <c r="G36" s="28">
        <f t="shared" si="2"/>
        <v>16</v>
      </c>
      <c r="I36" s="4" t="str">
        <f ca="1">OFFSET(Данные!C$8,$G36,0)</f>
        <v>Продукт 16</v>
      </c>
      <c r="J36" s="27">
        <f ca="1">OFFSET(Данные!D$8,$G36,0)</f>
        <v>1180</v>
      </c>
      <c r="K36" s="27">
        <f ca="1">OFFSET(Данные!E$8,$G36,0)</f>
        <v>267</v>
      </c>
      <c r="L36" s="5">
        <f ca="1">OFFSET(Данные!F$8,$G36,0)</f>
        <v>0.43</v>
      </c>
      <c r="M36" s="27">
        <f ca="1">OFFSET(Данные!G$8,$G36,0)</f>
        <v>318</v>
      </c>
      <c r="N36" s="27">
        <f ca="1">OFFSET(Данные!H$8,$G36,0)</f>
        <v>887.77</v>
      </c>
      <c r="AR36" s="4">
        <f ca="1">OFFSET(Данные!C27,0,Расчеты!$D$14)</f>
        <v>1350</v>
      </c>
      <c r="AS36" s="4">
        <f ca="1">OFFSET(Данные!C27,0,Расчеты!$D$15)</f>
        <v>0.68</v>
      </c>
    </row>
    <row r="37" spans="2:45" ht="12.75">
      <c r="B37" s="4">
        <f>Данные!B28</f>
        <v>20</v>
      </c>
      <c r="C37" s="4" t="str">
        <f>Данные!C28</f>
        <v>Продукт 20</v>
      </c>
      <c r="D37" s="4">
        <f ca="1">OFFSET(Данные!$C28,0,критерий_сортировки)</f>
        <v>1163</v>
      </c>
      <c r="E37" s="27">
        <f t="shared" si="0"/>
        <v>1163.00002</v>
      </c>
      <c r="F37" s="28">
        <f t="shared" si="1"/>
        <v>1163.00002</v>
      </c>
      <c r="G37" s="28">
        <f t="shared" si="2"/>
        <v>20</v>
      </c>
      <c r="I37" s="4" t="str">
        <f ca="1">OFFSET(Данные!C$8,$G37,0)</f>
        <v>Продукт 20</v>
      </c>
      <c r="J37" s="27">
        <f ca="1">OFFSET(Данные!D$8,$G37,0)</f>
        <v>1163</v>
      </c>
      <c r="K37" s="27">
        <f ca="1">OFFSET(Данные!E$8,$G37,0)</f>
        <v>168</v>
      </c>
      <c r="L37" s="5">
        <f ca="1">OFFSET(Данные!F$8,$G37,0)</f>
        <v>0.08</v>
      </c>
      <c r="M37" s="27">
        <f ca="1">OFFSET(Данные!G$8,$G37,0)</f>
        <v>610</v>
      </c>
      <c r="N37" s="27">
        <f ca="1">OFFSET(Данные!H$8,$G37,0)</f>
        <v>807.26</v>
      </c>
      <c r="AR37" s="4">
        <f ca="1">OFFSET(Данные!C28,0,Расчеты!$D$14)</f>
        <v>1163</v>
      </c>
      <c r="AS37" s="4">
        <f ca="1">OFFSET(Данные!C28,0,Расчеты!$D$15)</f>
        <v>0.08</v>
      </c>
    </row>
    <row r="38" spans="2:45" ht="12.75">
      <c r="B38" s="4">
        <f>Данные!B29</f>
        <v>21</v>
      </c>
      <c r="C38" s="4" t="str">
        <f>Данные!C29</f>
        <v>Продукт 21</v>
      </c>
      <c r="D38" s="4">
        <f ca="1">OFFSET(Данные!$C29,0,критерий_сортировки)</f>
        <v>830</v>
      </c>
      <c r="E38" s="27">
        <f t="shared" si="0"/>
        <v>830.000021</v>
      </c>
      <c r="F38" s="28">
        <f t="shared" si="1"/>
        <v>1153.000027</v>
      </c>
      <c r="G38" s="28">
        <f t="shared" si="2"/>
        <v>27</v>
      </c>
      <c r="I38" s="4" t="str">
        <f ca="1">OFFSET(Данные!C$8,$G38,0)</f>
        <v>Продукт 27</v>
      </c>
      <c r="J38" s="27">
        <f ca="1">OFFSET(Данные!D$8,$G38,0)</f>
        <v>1153</v>
      </c>
      <c r="K38" s="27">
        <f ca="1">OFFSET(Данные!E$8,$G38,0)</f>
        <v>250</v>
      </c>
      <c r="L38" s="5">
        <f ca="1">OFFSET(Данные!F$8,$G38,0)</f>
        <v>0.57</v>
      </c>
      <c r="M38" s="27">
        <f ca="1">OFFSET(Данные!G$8,$G38,0)</f>
        <v>576</v>
      </c>
      <c r="N38" s="27">
        <f ca="1">OFFSET(Данные!H$8,$G38,0)</f>
        <v>7.33</v>
      </c>
      <c r="AR38" s="4">
        <f ca="1">OFFSET(Данные!C29,0,Расчеты!$D$14)</f>
        <v>830</v>
      </c>
      <c r="AS38" s="4">
        <f ca="1">OFFSET(Данные!C29,0,Расчеты!$D$15)</f>
        <v>0.1</v>
      </c>
    </row>
    <row r="39" spans="2:45" ht="12.75">
      <c r="B39" s="4">
        <f>Данные!B30</f>
        <v>22</v>
      </c>
      <c r="C39" s="4" t="str">
        <f>Данные!C30</f>
        <v>Продукт 22</v>
      </c>
      <c r="D39" s="4">
        <f ca="1">OFFSET(Данные!$C30,0,критерий_сортировки)</f>
        <v>1195</v>
      </c>
      <c r="E39" s="27">
        <f t="shared" si="0"/>
        <v>1195.000022</v>
      </c>
      <c r="F39" s="28">
        <f t="shared" si="1"/>
        <v>1136.000084</v>
      </c>
      <c r="G39" s="28">
        <f t="shared" si="2"/>
        <v>84</v>
      </c>
      <c r="I39" s="4" t="str">
        <f ca="1">OFFSET(Данные!C$8,$G39,0)</f>
        <v>Продукт 84</v>
      </c>
      <c r="J39" s="27">
        <f ca="1">OFFSET(Данные!D$8,$G39,0)</f>
        <v>1136</v>
      </c>
      <c r="K39" s="27">
        <f ca="1">OFFSET(Данные!E$8,$G39,0)</f>
        <v>347</v>
      </c>
      <c r="L39" s="5">
        <f ca="1">OFFSET(Данные!F$8,$G39,0)</f>
        <v>0.6</v>
      </c>
      <c r="M39" s="27">
        <f ca="1">OFFSET(Данные!G$8,$G39,0)</f>
        <v>384</v>
      </c>
      <c r="N39" s="27">
        <f ca="1">OFFSET(Данные!H$8,$G39,0)</f>
        <v>999.49</v>
      </c>
      <c r="AR39" s="4">
        <f ca="1">OFFSET(Данные!C30,0,Расчеты!$D$14)</f>
        <v>1195</v>
      </c>
      <c r="AS39" s="4">
        <f ca="1">OFFSET(Данные!C30,0,Расчеты!$D$15)</f>
        <v>0.92</v>
      </c>
    </row>
    <row r="40" spans="2:45" ht="12.75">
      <c r="B40" s="4">
        <f>Данные!B31</f>
        <v>23</v>
      </c>
      <c r="C40" s="4" t="str">
        <f>Данные!C31</f>
        <v>Продукт 23</v>
      </c>
      <c r="D40" s="4">
        <f ca="1">OFFSET(Данные!$C31,0,критерий_сортировки)</f>
        <v>482</v>
      </c>
      <c r="E40" s="27">
        <f t="shared" si="0"/>
        <v>482.000023</v>
      </c>
      <c r="F40" s="28">
        <f t="shared" si="1"/>
        <v>1135.000085</v>
      </c>
      <c r="G40" s="28">
        <f t="shared" si="2"/>
        <v>85</v>
      </c>
      <c r="I40" s="4" t="str">
        <f ca="1">OFFSET(Данные!C$8,$G40,0)</f>
        <v>Продукт 85</v>
      </c>
      <c r="J40" s="27">
        <f ca="1">OFFSET(Данные!D$8,$G40,0)</f>
        <v>1135</v>
      </c>
      <c r="K40" s="27">
        <f ca="1">OFFSET(Данные!E$8,$G40,0)</f>
        <v>318</v>
      </c>
      <c r="L40" s="5">
        <f ca="1">OFFSET(Данные!F$8,$G40,0)</f>
        <v>0.81</v>
      </c>
      <c r="M40" s="27">
        <f ca="1">OFFSET(Данные!G$8,$G40,0)</f>
        <v>491</v>
      </c>
      <c r="N40" s="27">
        <f ca="1">OFFSET(Данные!H$8,$G40,0)</f>
        <v>715.53</v>
      </c>
      <c r="AR40" s="4">
        <f ca="1">OFFSET(Данные!C31,0,Расчеты!$D$14)</f>
        <v>482</v>
      </c>
      <c r="AS40" s="4">
        <f ca="1">OFFSET(Данные!C31,0,Расчеты!$D$15)</f>
        <v>0.71</v>
      </c>
    </row>
    <row r="41" spans="2:45" ht="12.75">
      <c r="B41" s="4">
        <f>Данные!B32</f>
        <v>24</v>
      </c>
      <c r="C41" s="4" t="str">
        <f>Данные!C32</f>
        <v>Продукт 24</v>
      </c>
      <c r="D41" s="4">
        <f ca="1">OFFSET(Данные!$C32,0,критерий_сортировки)</f>
        <v>1024</v>
      </c>
      <c r="E41" s="27">
        <f t="shared" si="0"/>
        <v>1024.000024</v>
      </c>
      <c r="F41" s="28">
        <f t="shared" si="1"/>
        <v>1108.000053</v>
      </c>
      <c r="G41" s="28">
        <f t="shared" si="2"/>
        <v>53</v>
      </c>
      <c r="I41" s="4" t="str">
        <f ca="1">OFFSET(Данные!C$8,$G41,0)</f>
        <v>Продукт 53</v>
      </c>
      <c r="J41" s="27">
        <f ca="1">OFFSET(Данные!D$8,$G41,0)</f>
        <v>1108</v>
      </c>
      <c r="K41" s="27">
        <f ca="1">OFFSET(Данные!E$8,$G41,0)</f>
        <v>5</v>
      </c>
      <c r="L41" s="5">
        <f ca="1">OFFSET(Данные!F$8,$G41,0)</f>
        <v>0.37</v>
      </c>
      <c r="M41" s="27">
        <f ca="1">OFFSET(Данные!G$8,$G41,0)</f>
        <v>339</v>
      </c>
      <c r="N41" s="27">
        <f ca="1">OFFSET(Данные!H$8,$G41,0)</f>
        <v>992.41</v>
      </c>
      <c r="AR41" s="4">
        <f ca="1">OFFSET(Данные!C32,0,Расчеты!$D$14)</f>
        <v>1024</v>
      </c>
      <c r="AS41" s="4">
        <f ca="1">OFFSET(Данные!C32,0,Расчеты!$D$15)</f>
        <v>0.35</v>
      </c>
    </row>
    <row r="42" spans="2:45" ht="12.75">
      <c r="B42" s="4">
        <f>Данные!B33</f>
        <v>25</v>
      </c>
      <c r="C42" s="4" t="str">
        <f>Данные!C33</f>
        <v>Продукт 25</v>
      </c>
      <c r="D42" s="4">
        <f ca="1">OFFSET(Данные!$C33,0,критерий_сортировки)</f>
        <v>1339</v>
      </c>
      <c r="E42" s="27">
        <f t="shared" si="0"/>
        <v>1339.000025</v>
      </c>
      <c r="F42" s="28">
        <f t="shared" si="1"/>
        <v>1102.000096</v>
      </c>
      <c r="G42" s="28">
        <f t="shared" si="2"/>
        <v>96</v>
      </c>
      <c r="I42" s="4" t="str">
        <f ca="1">OFFSET(Данные!C$8,$G42,0)</f>
        <v>Продукт 96</v>
      </c>
      <c r="J42" s="27">
        <f ca="1">OFFSET(Данные!D$8,$G42,0)</f>
        <v>1102</v>
      </c>
      <c r="K42" s="27">
        <f ca="1">OFFSET(Данные!E$8,$G42,0)</f>
        <v>69</v>
      </c>
      <c r="L42" s="5">
        <f ca="1">OFFSET(Данные!F$8,$G42,0)</f>
        <v>0.16</v>
      </c>
      <c r="M42" s="27">
        <f ca="1">OFFSET(Данные!G$8,$G42,0)</f>
        <v>666</v>
      </c>
      <c r="N42" s="27">
        <f ca="1">OFFSET(Данные!H$8,$G42,0)</f>
        <v>453.03</v>
      </c>
      <c r="AR42" s="4">
        <f ca="1">OFFSET(Данные!C33,0,Расчеты!$D$14)</f>
        <v>1339</v>
      </c>
      <c r="AS42" s="4">
        <f ca="1">OFFSET(Данные!C33,0,Расчеты!$D$15)</f>
        <v>0.98</v>
      </c>
    </row>
    <row r="43" spans="2:45" ht="12.75">
      <c r="B43" s="4">
        <f>Данные!B34</f>
        <v>26</v>
      </c>
      <c r="C43" s="4" t="str">
        <f>Данные!C34</f>
        <v>Продукт 26</v>
      </c>
      <c r="D43" s="4">
        <f ca="1">OFFSET(Данные!$C34,0,критерий_сортировки)</f>
        <v>958</v>
      </c>
      <c r="E43" s="27">
        <f t="shared" si="0"/>
        <v>958.000026</v>
      </c>
      <c r="F43" s="28">
        <f t="shared" si="1"/>
        <v>1100.000089</v>
      </c>
      <c r="G43" s="28">
        <f t="shared" si="2"/>
        <v>89</v>
      </c>
      <c r="I43" s="4" t="str">
        <f ca="1">OFFSET(Данные!C$8,$G43,0)</f>
        <v>Продукт 89</v>
      </c>
      <c r="J43" s="27">
        <f ca="1">OFFSET(Данные!D$8,$G43,0)</f>
        <v>1100</v>
      </c>
      <c r="K43" s="27">
        <f ca="1">OFFSET(Данные!E$8,$G43,0)</f>
        <v>380</v>
      </c>
      <c r="L43" s="5">
        <f ca="1">OFFSET(Данные!F$8,$G43,0)</f>
        <v>0.75</v>
      </c>
      <c r="M43" s="27">
        <f ca="1">OFFSET(Данные!G$8,$G43,0)</f>
        <v>600</v>
      </c>
      <c r="N43" s="27">
        <f ca="1">OFFSET(Данные!H$8,$G43,0)</f>
        <v>228.92</v>
      </c>
      <c r="AR43" s="4">
        <f ca="1">OFFSET(Данные!C34,0,Расчеты!$D$14)</f>
        <v>958</v>
      </c>
      <c r="AS43" s="4">
        <f ca="1">OFFSET(Данные!C34,0,Расчеты!$D$15)</f>
        <v>0.1</v>
      </c>
    </row>
    <row r="44" spans="2:45" ht="12.75">
      <c r="B44" s="4">
        <f>Данные!B35</f>
        <v>27</v>
      </c>
      <c r="C44" s="4" t="str">
        <f>Данные!C35</f>
        <v>Продукт 27</v>
      </c>
      <c r="D44" s="4">
        <f ca="1">OFFSET(Данные!$C35,0,критерий_сортировки)</f>
        <v>1153</v>
      </c>
      <c r="E44" s="27">
        <f t="shared" si="0"/>
        <v>1153.000027</v>
      </c>
      <c r="F44" s="28">
        <f t="shared" si="1"/>
        <v>1084.000038</v>
      </c>
      <c r="G44" s="28">
        <f t="shared" si="2"/>
        <v>38</v>
      </c>
      <c r="I44" s="4" t="str">
        <f ca="1">OFFSET(Данные!C$8,$G44,0)</f>
        <v>Продукт 38</v>
      </c>
      <c r="J44" s="27">
        <f ca="1">OFFSET(Данные!D$8,$G44,0)</f>
        <v>1084</v>
      </c>
      <c r="K44" s="27">
        <f ca="1">OFFSET(Данные!E$8,$G44,0)</f>
        <v>267</v>
      </c>
      <c r="L44" s="5">
        <f ca="1">OFFSET(Данные!F$8,$G44,0)</f>
        <v>0.13</v>
      </c>
      <c r="M44" s="27">
        <f ca="1">OFFSET(Данные!G$8,$G44,0)</f>
        <v>432</v>
      </c>
      <c r="N44" s="27">
        <f ca="1">OFFSET(Данные!H$8,$G44,0)</f>
        <v>67.7</v>
      </c>
      <c r="AR44" s="4">
        <f ca="1">OFFSET(Данные!C35,0,Расчеты!$D$14)</f>
        <v>1153</v>
      </c>
      <c r="AS44" s="4">
        <f ca="1">OFFSET(Данные!C35,0,Расчеты!$D$15)</f>
        <v>0.57</v>
      </c>
    </row>
    <row r="45" spans="2:45" ht="12.75">
      <c r="B45" s="4">
        <f>Данные!B36</f>
        <v>28</v>
      </c>
      <c r="C45" s="4" t="str">
        <f>Данные!C36</f>
        <v>Продукт 28</v>
      </c>
      <c r="D45" s="4">
        <f ca="1">OFFSET(Данные!$C36,0,критерий_сортировки)</f>
        <v>136</v>
      </c>
      <c r="E45" s="27">
        <f t="shared" si="0"/>
        <v>136.000028</v>
      </c>
      <c r="F45" s="28">
        <f t="shared" si="1"/>
        <v>1059.000081</v>
      </c>
      <c r="G45" s="28">
        <f t="shared" si="2"/>
        <v>81</v>
      </c>
      <c r="I45" s="4" t="str">
        <f ca="1">OFFSET(Данные!C$8,$G45,0)</f>
        <v>Продукт 81</v>
      </c>
      <c r="J45" s="27">
        <f ca="1">OFFSET(Данные!D$8,$G45,0)</f>
        <v>1059</v>
      </c>
      <c r="K45" s="27">
        <f ca="1">OFFSET(Данные!E$8,$G45,0)</f>
        <v>9</v>
      </c>
      <c r="L45" s="5">
        <f ca="1">OFFSET(Данные!F$8,$G45,0)</f>
        <v>0.68</v>
      </c>
      <c r="M45" s="27">
        <f ca="1">OFFSET(Данные!G$8,$G45,0)</f>
        <v>563</v>
      </c>
      <c r="N45" s="27">
        <f ca="1">OFFSET(Данные!H$8,$G45,0)</f>
        <v>100.84</v>
      </c>
      <c r="AR45" s="4">
        <f ca="1">OFFSET(Данные!C36,0,Расчеты!$D$14)</f>
        <v>136</v>
      </c>
      <c r="AS45" s="4">
        <f ca="1">OFFSET(Данные!C36,0,Расчеты!$D$15)</f>
        <v>0.07</v>
      </c>
    </row>
    <row r="46" spans="2:45" ht="12.75">
      <c r="B46" s="4">
        <f>Данные!B37</f>
        <v>29</v>
      </c>
      <c r="C46" s="4" t="str">
        <f>Данные!C37</f>
        <v>Продукт 29</v>
      </c>
      <c r="D46" s="4">
        <f ca="1">OFFSET(Данные!$C37,0,критерий_сортировки)</f>
        <v>923</v>
      </c>
      <c r="E46" s="27">
        <f t="shared" si="0"/>
        <v>923.000029</v>
      </c>
      <c r="F46" s="28">
        <f t="shared" si="1"/>
        <v>1053.000078</v>
      </c>
      <c r="G46" s="28">
        <f t="shared" si="2"/>
        <v>78</v>
      </c>
      <c r="I46" s="4" t="str">
        <f ca="1">OFFSET(Данные!C$8,$G46,0)</f>
        <v>Продукт 78</v>
      </c>
      <c r="J46" s="27">
        <f ca="1">OFFSET(Данные!D$8,$G46,0)</f>
        <v>1053</v>
      </c>
      <c r="K46" s="27">
        <f ca="1">OFFSET(Данные!E$8,$G46,0)</f>
        <v>16</v>
      </c>
      <c r="L46" s="5">
        <f ca="1">OFFSET(Данные!F$8,$G46,0)</f>
        <v>0.02</v>
      </c>
      <c r="M46" s="27">
        <f ca="1">OFFSET(Данные!G$8,$G46,0)</f>
        <v>528</v>
      </c>
      <c r="N46" s="27">
        <f ca="1">OFFSET(Данные!H$8,$G46,0)</f>
        <v>571.91</v>
      </c>
      <c r="AR46" s="4">
        <f ca="1">OFFSET(Данные!C37,0,Расчеты!$D$14)</f>
        <v>923</v>
      </c>
      <c r="AS46" s="4">
        <f ca="1">OFFSET(Данные!C37,0,Расчеты!$D$15)</f>
        <v>0.61</v>
      </c>
    </row>
    <row r="47" spans="2:45" ht="12.75">
      <c r="B47" s="4">
        <f>Данные!B38</f>
        <v>30</v>
      </c>
      <c r="C47" s="4" t="str">
        <f>Данные!C38</f>
        <v>Продукт 30</v>
      </c>
      <c r="D47" s="4">
        <f ca="1">OFFSET(Данные!$C38,0,критерий_сортировки)</f>
        <v>252</v>
      </c>
      <c r="E47" s="27">
        <f t="shared" si="0"/>
        <v>252.00003</v>
      </c>
      <c r="F47" s="28">
        <f t="shared" si="1"/>
        <v>1024.000024</v>
      </c>
      <c r="G47" s="28">
        <f t="shared" si="2"/>
        <v>24</v>
      </c>
      <c r="I47" s="4" t="str">
        <f ca="1">OFFSET(Данные!C$8,$G47,0)</f>
        <v>Продукт 24</v>
      </c>
      <c r="J47" s="27">
        <f ca="1">OFFSET(Данные!D$8,$G47,0)</f>
        <v>1024</v>
      </c>
      <c r="K47" s="27">
        <f ca="1">OFFSET(Данные!E$8,$G47,0)</f>
        <v>176</v>
      </c>
      <c r="L47" s="5">
        <f ca="1">OFFSET(Данные!F$8,$G47,0)</f>
        <v>0.35</v>
      </c>
      <c r="M47" s="27">
        <f ca="1">OFFSET(Данные!G$8,$G47,0)</f>
        <v>268</v>
      </c>
      <c r="N47" s="27">
        <f ca="1">OFFSET(Данные!H$8,$G47,0)</f>
        <v>242.52</v>
      </c>
      <c r="AR47" s="4">
        <f ca="1">OFFSET(Данные!C38,0,Расчеты!$D$14)</f>
        <v>252</v>
      </c>
      <c r="AS47" s="4">
        <f ca="1">OFFSET(Данные!C38,0,Расчеты!$D$15)</f>
        <v>0.07</v>
      </c>
    </row>
    <row r="48" spans="2:45" ht="12.75">
      <c r="B48" s="4">
        <f>Данные!B39</f>
        <v>31</v>
      </c>
      <c r="C48" s="4" t="str">
        <f>Данные!C39</f>
        <v>Продукт 31</v>
      </c>
      <c r="D48" s="4">
        <f ca="1">OFFSET(Данные!$C39,0,критерий_сортировки)</f>
        <v>1270</v>
      </c>
      <c r="E48" s="27">
        <f t="shared" si="0"/>
        <v>1270.000031</v>
      </c>
      <c r="F48" s="28">
        <f t="shared" si="1"/>
        <v>958.000026</v>
      </c>
      <c r="G48" s="28">
        <f t="shared" si="2"/>
        <v>26</v>
      </c>
      <c r="I48" s="4" t="str">
        <f ca="1">OFFSET(Данные!C$8,$G48,0)</f>
        <v>Продукт 26</v>
      </c>
      <c r="J48" s="27">
        <f ca="1">OFFSET(Данные!D$8,$G48,0)</f>
        <v>958</v>
      </c>
      <c r="K48" s="27">
        <f ca="1">OFFSET(Данные!E$8,$G48,0)</f>
        <v>206</v>
      </c>
      <c r="L48" s="5">
        <f ca="1">OFFSET(Данные!F$8,$G48,0)</f>
        <v>0.1</v>
      </c>
      <c r="M48" s="27">
        <f ca="1">OFFSET(Данные!G$8,$G48,0)</f>
        <v>443</v>
      </c>
      <c r="N48" s="27">
        <f ca="1">OFFSET(Данные!H$8,$G48,0)</f>
        <v>717.43</v>
      </c>
      <c r="AR48" s="4">
        <f ca="1">OFFSET(Данные!C39,0,Расчеты!$D$14)</f>
        <v>1270</v>
      </c>
      <c r="AS48" s="4">
        <f ca="1">OFFSET(Данные!C39,0,Расчеты!$D$15)</f>
        <v>0.53</v>
      </c>
    </row>
    <row r="49" spans="2:45" ht="12.75">
      <c r="B49" s="4">
        <f>Данные!B40</f>
        <v>32</v>
      </c>
      <c r="C49" s="4" t="str">
        <f>Данные!C40</f>
        <v>Продукт 32</v>
      </c>
      <c r="D49" s="4">
        <f ca="1">OFFSET(Данные!$C40,0,критерий_сортировки)</f>
        <v>880</v>
      </c>
      <c r="E49" s="27">
        <f t="shared" si="0"/>
        <v>880.000032</v>
      </c>
      <c r="F49" s="28">
        <f t="shared" si="1"/>
        <v>953.00001</v>
      </c>
      <c r="G49" s="28">
        <f t="shared" si="2"/>
        <v>10</v>
      </c>
      <c r="I49" s="4" t="str">
        <f ca="1">OFFSET(Данные!C$8,$G49,0)</f>
        <v>Продукт 10</v>
      </c>
      <c r="J49" s="27">
        <f ca="1">OFFSET(Данные!D$8,$G49,0)</f>
        <v>953</v>
      </c>
      <c r="K49" s="27">
        <f ca="1">OFFSET(Данные!E$8,$G49,0)</f>
        <v>259</v>
      </c>
      <c r="L49" s="5">
        <f ca="1">OFFSET(Данные!F$8,$G49,0)</f>
        <v>0.05</v>
      </c>
      <c r="M49" s="27">
        <f ca="1">OFFSET(Данные!G$8,$G49,0)</f>
        <v>260</v>
      </c>
      <c r="N49" s="27">
        <f ca="1">OFFSET(Данные!H$8,$G49,0)</f>
        <v>855.81</v>
      </c>
      <c r="AR49" s="4">
        <f ca="1">OFFSET(Данные!C40,0,Расчеты!$D$14)</f>
        <v>880</v>
      </c>
      <c r="AS49" s="4">
        <f ca="1">OFFSET(Данные!C40,0,Расчеты!$D$15)</f>
        <v>0.9</v>
      </c>
    </row>
    <row r="50" spans="2:45" ht="12.75">
      <c r="B50" s="4">
        <f>Данные!B41</f>
        <v>33</v>
      </c>
      <c r="C50" s="4" t="str">
        <f>Данные!C41</f>
        <v>Продукт 33</v>
      </c>
      <c r="D50" s="4">
        <f ca="1">OFFSET(Данные!$C41,0,критерий_сортировки)</f>
        <v>1330</v>
      </c>
      <c r="E50" s="27">
        <f t="shared" si="0"/>
        <v>1330.000033</v>
      </c>
      <c r="F50" s="28">
        <f t="shared" si="1"/>
        <v>923.000029</v>
      </c>
      <c r="G50" s="28">
        <f t="shared" si="2"/>
        <v>29</v>
      </c>
      <c r="I50" s="4" t="str">
        <f ca="1">OFFSET(Данные!C$8,$G50,0)</f>
        <v>Продукт 29</v>
      </c>
      <c r="J50" s="27">
        <f ca="1">OFFSET(Данные!D$8,$G50,0)</f>
        <v>923</v>
      </c>
      <c r="K50" s="27">
        <f ca="1">OFFSET(Данные!E$8,$G50,0)</f>
        <v>116</v>
      </c>
      <c r="L50" s="5">
        <f ca="1">OFFSET(Данные!F$8,$G50,0)</f>
        <v>0.61</v>
      </c>
      <c r="M50" s="27">
        <f ca="1">OFFSET(Данные!G$8,$G50,0)</f>
        <v>622</v>
      </c>
      <c r="N50" s="27">
        <f ca="1">OFFSET(Данные!H$8,$G50,0)</f>
        <v>386.26</v>
      </c>
      <c r="AR50" s="4">
        <f ca="1">OFFSET(Данные!C41,0,Расчеты!$D$14)</f>
        <v>1330</v>
      </c>
      <c r="AS50" s="4">
        <f ca="1">OFFSET(Данные!C41,0,Расчеты!$D$15)</f>
        <v>0.25</v>
      </c>
    </row>
    <row r="51" spans="2:45" ht="12.75">
      <c r="B51" s="4">
        <f>Данные!B42</f>
        <v>34</v>
      </c>
      <c r="C51" s="4" t="str">
        <f>Данные!C42</f>
        <v>Продукт 34</v>
      </c>
      <c r="D51" s="4">
        <f ca="1">OFFSET(Данные!$C42,0,критерий_сортировки)</f>
        <v>255</v>
      </c>
      <c r="E51" s="27">
        <f t="shared" si="0"/>
        <v>255.000034</v>
      </c>
      <c r="F51" s="28">
        <f t="shared" si="1"/>
        <v>913.000083</v>
      </c>
      <c r="G51" s="28">
        <f t="shared" si="2"/>
        <v>83</v>
      </c>
      <c r="I51" s="4" t="str">
        <f ca="1">OFFSET(Данные!C$8,$G51,0)</f>
        <v>Продукт 83</v>
      </c>
      <c r="J51" s="27">
        <f ca="1">OFFSET(Данные!D$8,$G51,0)</f>
        <v>913</v>
      </c>
      <c r="K51" s="27">
        <f ca="1">OFFSET(Данные!E$8,$G51,0)</f>
        <v>115</v>
      </c>
      <c r="L51" s="5">
        <f ca="1">OFFSET(Данные!F$8,$G51,0)</f>
        <v>0.12</v>
      </c>
      <c r="M51" s="27">
        <f ca="1">OFFSET(Данные!G$8,$G51,0)</f>
        <v>499</v>
      </c>
      <c r="N51" s="27">
        <f ca="1">OFFSET(Данные!H$8,$G51,0)</f>
        <v>558.06</v>
      </c>
      <c r="AR51" s="4">
        <f ca="1">OFFSET(Данные!C42,0,Расчеты!$D$14)</f>
        <v>255</v>
      </c>
      <c r="AS51" s="4">
        <f ca="1">OFFSET(Данные!C42,0,Расчеты!$D$15)</f>
        <v>0.87</v>
      </c>
    </row>
    <row r="52" spans="2:45" ht="12.75">
      <c r="B52" s="4">
        <f>Данные!B43</f>
        <v>35</v>
      </c>
      <c r="C52" s="4" t="str">
        <f>Данные!C43</f>
        <v>Продукт 35</v>
      </c>
      <c r="D52" s="4">
        <f ca="1">OFFSET(Данные!$C43,0,критерий_сортировки)</f>
        <v>253</v>
      </c>
      <c r="E52" s="27">
        <f t="shared" si="0"/>
        <v>253.000035</v>
      </c>
      <c r="F52" s="28">
        <f t="shared" si="1"/>
        <v>905.000045</v>
      </c>
      <c r="G52" s="28">
        <f t="shared" si="2"/>
        <v>45</v>
      </c>
      <c r="I52" s="4" t="str">
        <f ca="1">OFFSET(Данные!C$8,$G52,0)</f>
        <v>Продукт 45</v>
      </c>
      <c r="J52" s="27">
        <f ca="1">OFFSET(Данные!D$8,$G52,0)</f>
        <v>905</v>
      </c>
      <c r="K52" s="27">
        <f ca="1">OFFSET(Данные!E$8,$G52,0)</f>
        <v>84</v>
      </c>
      <c r="L52" s="5">
        <f ca="1">OFFSET(Данные!F$8,$G52,0)</f>
        <v>0.22</v>
      </c>
      <c r="M52" s="27">
        <f ca="1">OFFSET(Данные!G$8,$G52,0)</f>
        <v>704</v>
      </c>
      <c r="N52" s="27">
        <f ca="1">OFFSET(Данные!H$8,$G52,0)</f>
        <v>101.97</v>
      </c>
      <c r="AR52" s="4">
        <f ca="1">OFFSET(Данные!C43,0,Расчеты!$D$14)</f>
        <v>253</v>
      </c>
      <c r="AS52" s="4">
        <f ca="1">OFFSET(Данные!C43,0,Расчеты!$D$15)</f>
        <v>0.19</v>
      </c>
    </row>
    <row r="53" spans="2:45" ht="12.75">
      <c r="B53" s="4">
        <f>Данные!B44</f>
        <v>36</v>
      </c>
      <c r="C53" s="4" t="str">
        <f>Данные!C44</f>
        <v>Продукт 36</v>
      </c>
      <c r="D53" s="4">
        <f ca="1">OFFSET(Данные!$C44,0,критерий_сортировки)</f>
        <v>1407</v>
      </c>
      <c r="E53" s="27">
        <f t="shared" si="0"/>
        <v>1407.000036</v>
      </c>
      <c r="F53" s="28">
        <f t="shared" si="1"/>
        <v>891.000056</v>
      </c>
      <c r="G53" s="28">
        <f t="shared" si="2"/>
        <v>56</v>
      </c>
      <c r="I53" s="4" t="str">
        <f ca="1">OFFSET(Данные!C$8,$G53,0)</f>
        <v>Продукт 56</v>
      </c>
      <c r="J53" s="27">
        <f ca="1">OFFSET(Данные!D$8,$G53,0)</f>
        <v>891</v>
      </c>
      <c r="K53" s="27">
        <f ca="1">OFFSET(Данные!E$8,$G53,0)</f>
        <v>339</v>
      </c>
      <c r="L53" s="5">
        <f ca="1">OFFSET(Данные!F$8,$G53,0)</f>
        <v>0.92</v>
      </c>
      <c r="M53" s="27">
        <f ca="1">OFFSET(Данные!G$8,$G53,0)</f>
        <v>410</v>
      </c>
      <c r="N53" s="27">
        <f ca="1">OFFSET(Данные!H$8,$G53,0)</f>
        <v>514.92</v>
      </c>
      <c r="AR53" s="4">
        <f ca="1">OFFSET(Данные!C44,0,Расчеты!$D$14)</f>
        <v>1407</v>
      </c>
      <c r="AS53" s="4">
        <f ca="1">OFFSET(Данные!C44,0,Расчеты!$D$15)</f>
        <v>0.02</v>
      </c>
    </row>
    <row r="54" spans="2:45" ht="12.75">
      <c r="B54" s="4">
        <f>Данные!B45</f>
        <v>37</v>
      </c>
      <c r="C54" s="4" t="str">
        <f>Данные!C45</f>
        <v>Продукт 37</v>
      </c>
      <c r="D54" s="4">
        <f ca="1">OFFSET(Данные!$C45,0,критерий_сортировки)</f>
        <v>359</v>
      </c>
      <c r="E54" s="27">
        <f t="shared" si="0"/>
        <v>359.000037</v>
      </c>
      <c r="F54" s="28">
        <f t="shared" si="1"/>
        <v>889.000095</v>
      </c>
      <c r="G54" s="28">
        <f t="shared" si="2"/>
        <v>95</v>
      </c>
      <c r="I54" s="4" t="str">
        <f ca="1">OFFSET(Данные!C$8,$G54,0)</f>
        <v>Продукт 95</v>
      </c>
      <c r="J54" s="27">
        <f ca="1">OFFSET(Данные!D$8,$G54,0)</f>
        <v>889</v>
      </c>
      <c r="K54" s="27">
        <f ca="1">OFFSET(Данные!E$8,$G54,0)</f>
        <v>15</v>
      </c>
      <c r="L54" s="5">
        <f ca="1">OFFSET(Данные!F$8,$G54,0)</f>
        <v>0.11</v>
      </c>
      <c r="M54" s="27">
        <f ca="1">OFFSET(Данные!G$8,$G54,0)</f>
        <v>561</v>
      </c>
      <c r="N54" s="27">
        <f ca="1">OFFSET(Данные!H$8,$G54,0)</f>
        <v>80.79</v>
      </c>
      <c r="AR54" s="4">
        <f ca="1">OFFSET(Данные!C45,0,Расчеты!$D$14)</f>
        <v>359</v>
      </c>
      <c r="AS54" s="4">
        <f ca="1">OFFSET(Данные!C45,0,Расчеты!$D$15)</f>
        <v>0.7</v>
      </c>
    </row>
    <row r="55" spans="2:45" ht="12.75">
      <c r="B55" s="4">
        <f>Данные!B46</f>
        <v>38</v>
      </c>
      <c r="C55" s="4" t="str">
        <f>Данные!C46</f>
        <v>Продукт 38</v>
      </c>
      <c r="D55" s="4">
        <f ca="1">OFFSET(Данные!$C46,0,критерий_сортировки)</f>
        <v>1084</v>
      </c>
      <c r="E55" s="27">
        <f t="shared" si="0"/>
        <v>1084.000038</v>
      </c>
      <c r="F55" s="28">
        <f t="shared" si="1"/>
        <v>885.000098</v>
      </c>
      <c r="G55" s="28">
        <f t="shared" si="2"/>
        <v>98</v>
      </c>
      <c r="I55" s="4" t="str">
        <f ca="1">OFFSET(Данные!C$8,$G55,0)</f>
        <v>Продукт 98</v>
      </c>
      <c r="J55" s="27">
        <f ca="1">OFFSET(Данные!D$8,$G55,0)</f>
        <v>885</v>
      </c>
      <c r="K55" s="27">
        <f ca="1">OFFSET(Данные!E$8,$G55,0)</f>
        <v>343</v>
      </c>
      <c r="L55" s="5">
        <f ca="1">OFFSET(Данные!F$8,$G55,0)</f>
        <v>0.35</v>
      </c>
      <c r="M55" s="27">
        <f ca="1">OFFSET(Данные!G$8,$G55,0)</f>
        <v>679</v>
      </c>
      <c r="N55" s="27">
        <f ca="1">OFFSET(Данные!H$8,$G55,0)</f>
        <v>676.41</v>
      </c>
      <c r="AR55" s="4">
        <f ca="1">OFFSET(Данные!C46,0,Расчеты!$D$14)</f>
        <v>1084</v>
      </c>
      <c r="AS55" s="4">
        <f ca="1">OFFSET(Данные!C46,0,Расчеты!$D$15)</f>
        <v>0.13</v>
      </c>
    </row>
    <row r="56" spans="2:45" ht="12.75">
      <c r="B56" s="4">
        <f>Данные!B47</f>
        <v>39</v>
      </c>
      <c r="C56" s="4" t="str">
        <f>Данные!C47</f>
        <v>Продукт 39</v>
      </c>
      <c r="D56" s="4">
        <f ca="1">OFFSET(Данные!$C47,0,критерий_сортировки)</f>
        <v>1403</v>
      </c>
      <c r="E56" s="27">
        <f t="shared" si="0"/>
        <v>1403.000039</v>
      </c>
      <c r="F56" s="28">
        <f t="shared" si="1"/>
        <v>880.000032</v>
      </c>
      <c r="G56" s="28">
        <f t="shared" si="2"/>
        <v>32</v>
      </c>
      <c r="I56" s="4" t="str">
        <f ca="1">OFFSET(Данные!C$8,$G56,0)</f>
        <v>Продукт 32</v>
      </c>
      <c r="J56" s="27">
        <f ca="1">OFFSET(Данные!D$8,$G56,0)</f>
        <v>880</v>
      </c>
      <c r="K56" s="27">
        <f ca="1">OFFSET(Данные!E$8,$G56,0)</f>
        <v>12</v>
      </c>
      <c r="L56" s="5">
        <f ca="1">OFFSET(Данные!F$8,$G56,0)</f>
        <v>0.9</v>
      </c>
      <c r="M56" s="27">
        <f ca="1">OFFSET(Данные!G$8,$G56,0)</f>
        <v>395</v>
      </c>
      <c r="N56" s="27">
        <f ca="1">OFFSET(Данные!H$8,$G56,0)</f>
        <v>915.26</v>
      </c>
      <c r="AR56" s="4">
        <f ca="1">OFFSET(Данные!C47,0,Расчеты!$D$14)</f>
        <v>1403</v>
      </c>
      <c r="AS56" s="4">
        <f ca="1">OFFSET(Данные!C47,0,Расчеты!$D$15)</f>
        <v>0.61</v>
      </c>
    </row>
    <row r="57" spans="2:45" ht="12.75">
      <c r="B57" s="4">
        <f>Данные!B48</f>
        <v>40</v>
      </c>
      <c r="C57" s="4" t="str">
        <f>Данные!C48</f>
        <v>Продукт 40</v>
      </c>
      <c r="D57" s="4">
        <f ca="1">OFFSET(Данные!$C48,0,критерий_сортировки)</f>
        <v>297</v>
      </c>
      <c r="E57" s="27">
        <f t="shared" si="0"/>
        <v>297.00004</v>
      </c>
      <c r="F57" s="28">
        <f t="shared" si="1"/>
        <v>870.000067</v>
      </c>
      <c r="G57" s="28">
        <f t="shared" si="2"/>
        <v>67</v>
      </c>
      <c r="I57" s="4" t="str">
        <f ca="1">OFFSET(Данные!C$8,$G57,0)</f>
        <v>Продукт 67</v>
      </c>
      <c r="J57" s="27">
        <f ca="1">OFFSET(Данные!D$8,$G57,0)</f>
        <v>870</v>
      </c>
      <c r="K57" s="27">
        <f ca="1">OFFSET(Данные!E$8,$G57,0)</f>
        <v>73</v>
      </c>
      <c r="L57" s="5">
        <f ca="1">OFFSET(Данные!F$8,$G57,0)</f>
        <v>0.08</v>
      </c>
      <c r="M57" s="27">
        <f ca="1">OFFSET(Данные!G$8,$G57,0)</f>
        <v>509</v>
      </c>
      <c r="N57" s="27">
        <f ca="1">OFFSET(Данные!H$8,$G57,0)</f>
        <v>541.55</v>
      </c>
      <c r="AR57" s="4">
        <f ca="1">OFFSET(Данные!C48,0,Расчеты!$D$14)</f>
        <v>297</v>
      </c>
      <c r="AS57" s="4">
        <f ca="1">OFFSET(Данные!C48,0,Расчеты!$D$15)</f>
        <v>0.44</v>
      </c>
    </row>
    <row r="58" spans="2:45" ht="12.75">
      <c r="B58" s="4">
        <f>Данные!B49</f>
        <v>41</v>
      </c>
      <c r="C58" s="4" t="str">
        <f>Данные!C49</f>
        <v>Продукт 41</v>
      </c>
      <c r="D58" s="4">
        <f ca="1">OFFSET(Данные!$C49,0,критерий_сортировки)</f>
        <v>767</v>
      </c>
      <c r="E58" s="27">
        <f t="shared" si="0"/>
        <v>767.000041</v>
      </c>
      <c r="F58" s="28">
        <f t="shared" si="1"/>
        <v>830.000021</v>
      </c>
      <c r="G58" s="28">
        <f t="shared" si="2"/>
        <v>21</v>
      </c>
      <c r="I58" s="4" t="str">
        <f ca="1">OFFSET(Данные!C$8,$G58,0)</f>
        <v>Продукт 21</v>
      </c>
      <c r="J58" s="27">
        <f ca="1">OFFSET(Данные!D$8,$G58,0)</f>
        <v>830</v>
      </c>
      <c r="K58" s="27">
        <f ca="1">OFFSET(Данные!E$8,$G58,0)</f>
        <v>264</v>
      </c>
      <c r="L58" s="5">
        <f ca="1">OFFSET(Данные!F$8,$G58,0)</f>
        <v>0.1</v>
      </c>
      <c r="M58" s="27">
        <f ca="1">OFFSET(Данные!G$8,$G58,0)</f>
        <v>396</v>
      </c>
      <c r="N58" s="27">
        <f ca="1">OFFSET(Данные!H$8,$G58,0)</f>
        <v>85.84</v>
      </c>
      <c r="AR58" s="4">
        <f ca="1">OFFSET(Данные!C49,0,Расчеты!$D$14)</f>
        <v>767</v>
      </c>
      <c r="AS58" s="4">
        <f ca="1">OFFSET(Данные!C49,0,Расчеты!$D$15)</f>
        <v>0.86</v>
      </c>
    </row>
    <row r="59" spans="2:45" ht="12.75">
      <c r="B59" s="4">
        <f>Данные!B50</f>
        <v>42</v>
      </c>
      <c r="C59" s="4" t="str">
        <f>Данные!C50</f>
        <v>Продукт 42</v>
      </c>
      <c r="D59" s="4">
        <f ca="1">OFFSET(Данные!$C50,0,критерий_сортировки)</f>
        <v>1338</v>
      </c>
      <c r="E59" s="27">
        <f t="shared" si="0"/>
        <v>1338.000042</v>
      </c>
      <c r="F59" s="28">
        <f t="shared" si="1"/>
        <v>807.000015</v>
      </c>
      <c r="G59" s="28">
        <f t="shared" si="2"/>
        <v>15</v>
      </c>
      <c r="I59" s="4" t="str">
        <f ca="1">OFFSET(Данные!C$8,$G59,0)</f>
        <v>Продукт 15</v>
      </c>
      <c r="J59" s="27">
        <f ca="1">OFFSET(Данные!D$8,$G59,0)</f>
        <v>807</v>
      </c>
      <c r="K59" s="27">
        <f ca="1">OFFSET(Данные!E$8,$G59,0)</f>
        <v>77</v>
      </c>
      <c r="L59" s="5">
        <f ca="1">OFFSET(Данные!F$8,$G59,0)</f>
        <v>0.91</v>
      </c>
      <c r="M59" s="27">
        <f ca="1">OFFSET(Данные!G$8,$G59,0)</f>
        <v>643</v>
      </c>
      <c r="N59" s="27">
        <f ca="1">OFFSET(Данные!H$8,$G59,0)</f>
        <v>180.39</v>
      </c>
      <c r="AR59" s="4">
        <f ca="1">OFFSET(Данные!C50,0,Расчеты!$D$14)</f>
        <v>1338</v>
      </c>
      <c r="AS59" s="4">
        <f ca="1">OFFSET(Данные!C50,0,Расчеты!$D$15)</f>
        <v>0.86</v>
      </c>
    </row>
    <row r="60" spans="2:45" ht="12.75">
      <c r="B60" s="4">
        <f>Данные!B51</f>
        <v>43</v>
      </c>
      <c r="C60" s="4" t="str">
        <f>Данные!C51</f>
        <v>Продукт 43</v>
      </c>
      <c r="D60" s="4">
        <f ca="1">OFFSET(Данные!$C51,0,критерий_сортировки)</f>
        <v>180</v>
      </c>
      <c r="E60" s="27">
        <f t="shared" si="0"/>
        <v>180.000043</v>
      </c>
      <c r="F60" s="28">
        <f t="shared" si="1"/>
        <v>793.000072</v>
      </c>
      <c r="G60" s="28">
        <f t="shared" si="2"/>
        <v>72</v>
      </c>
      <c r="I60" s="4" t="str">
        <f ca="1">OFFSET(Данные!C$8,$G60,0)</f>
        <v>Продукт 72</v>
      </c>
      <c r="J60" s="27">
        <f ca="1">OFFSET(Данные!D$8,$G60,0)</f>
        <v>793</v>
      </c>
      <c r="K60" s="27">
        <f ca="1">OFFSET(Данные!E$8,$G60,0)</f>
        <v>301</v>
      </c>
      <c r="L60" s="5">
        <f ca="1">OFFSET(Данные!F$8,$G60,0)</f>
        <v>0.81</v>
      </c>
      <c r="M60" s="27">
        <f ca="1">OFFSET(Данные!G$8,$G60,0)</f>
        <v>636</v>
      </c>
      <c r="N60" s="27">
        <f ca="1">OFFSET(Данные!H$8,$G60,0)</f>
        <v>441.91</v>
      </c>
      <c r="AR60" s="4">
        <f ca="1">OFFSET(Данные!C51,0,Расчеты!$D$14)</f>
        <v>180</v>
      </c>
      <c r="AS60" s="4">
        <f ca="1">OFFSET(Данные!C51,0,Расчеты!$D$15)</f>
        <v>0.67</v>
      </c>
    </row>
    <row r="61" spans="2:45" ht="12.75">
      <c r="B61" s="4">
        <f>Данные!B52</f>
        <v>44</v>
      </c>
      <c r="C61" s="4" t="str">
        <f>Данные!C52</f>
        <v>Продукт 44</v>
      </c>
      <c r="D61" s="4">
        <f ca="1">OFFSET(Данные!$C52,0,критерий_сортировки)</f>
        <v>419</v>
      </c>
      <c r="E61" s="27">
        <f t="shared" si="0"/>
        <v>419.000044</v>
      </c>
      <c r="F61" s="28">
        <f t="shared" si="1"/>
        <v>790.000006</v>
      </c>
      <c r="G61" s="28">
        <f t="shared" si="2"/>
        <v>6</v>
      </c>
      <c r="I61" s="4" t="str">
        <f ca="1">OFFSET(Данные!C$8,$G61,0)</f>
        <v>Продукт 6</v>
      </c>
      <c r="J61" s="27">
        <f ca="1">OFFSET(Данные!D$8,$G61,0)</f>
        <v>790</v>
      </c>
      <c r="K61" s="27">
        <f ca="1">OFFSET(Данные!E$8,$G61,0)</f>
        <v>181</v>
      </c>
      <c r="L61" s="5">
        <f ca="1">OFFSET(Данные!F$8,$G61,0)</f>
        <v>0.97</v>
      </c>
      <c r="M61" s="27">
        <f ca="1">OFFSET(Данные!G$8,$G61,0)</f>
        <v>295</v>
      </c>
      <c r="N61" s="27">
        <f ca="1">OFFSET(Данные!H$8,$G61,0)</f>
        <v>678.05</v>
      </c>
      <c r="AR61" s="4">
        <f ca="1">OFFSET(Данные!C52,0,Расчеты!$D$14)</f>
        <v>419</v>
      </c>
      <c r="AS61" s="4">
        <f ca="1">OFFSET(Данные!C52,0,Расчеты!$D$15)</f>
        <v>0.51</v>
      </c>
    </row>
    <row r="62" spans="2:45" ht="12.75">
      <c r="B62" s="4">
        <f>Данные!B53</f>
        <v>45</v>
      </c>
      <c r="C62" s="4" t="str">
        <f>Данные!C53</f>
        <v>Продукт 45</v>
      </c>
      <c r="D62" s="4">
        <f ca="1">OFFSET(Данные!$C53,0,критерий_сортировки)</f>
        <v>905</v>
      </c>
      <c r="E62" s="27">
        <f t="shared" si="0"/>
        <v>905.000045</v>
      </c>
      <c r="F62" s="28">
        <f t="shared" si="1"/>
        <v>783.000011</v>
      </c>
      <c r="G62" s="28">
        <f t="shared" si="2"/>
        <v>11</v>
      </c>
      <c r="I62" s="4" t="str">
        <f ca="1">OFFSET(Данные!C$8,$G62,0)</f>
        <v>Продукт 11</v>
      </c>
      <c r="J62" s="27">
        <f ca="1">OFFSET(Данные!D$8,$G62,0)</f>
        <v>783</v>
      </c>
      <c r="K62" s="27">
        <f ca="1">OFFSET(Данные!E$8,$G62,0)</f>
        <v>299</v>
      </c>
      <c r="L62" s="5">
        <f ca="1">OFFSET(Данные!F$8,$G62,0)</f>
        <v>0.18</v>
      </c>
      <c r="M62" s="27">
        <f ca="1">OFFSET(Данные!G$8,$G62,0)</f>
        <v>711</v>
      </c>
      <c r="N62" s="27">
        <f ca="1">OFFSET(Данные!H$8,$G62,0)</f>
        <v>649.79</v>
      </c>
      <c r="AR62" s="4">
        <f ca="1">OFFSET(Данные!C53,0,Расчеты!$D$14)</f>
        <v>905</v>
      </c>
      <c r="AS62" s="4">
        <f ca="1">OFFSET(Данные!C53,0,Расчеты!$D$15)</f>
        <v>0.22</v>
      </c>
    </row>
    <row r="63" spans="2:45" ht="12.75">
      <c r="B63" s="4">
        <f>Данные!B54</f>
        <v>46</v>
      </c>
      <c r="C63" s="4" t="str">
        <f>Данные!C54</f>
        <v>Продукт 46</v>
      </c>
      <c r="D63" s="4">
        <f ca="1">OFFSET(Данные!$C54,0,критерий_сортировки)</f>
        <v>673</v>
      </c>
      <c r="E63" s="27">
        <f t="shared" si="0"/>
        <v>673.000046</v>
      </c>
      <c r="F63" s="28">
        <f t="shared" si="1"/>
        <v>781.000074</v>
      </c>
      <c r="G63" s="28">
        <f t="shared" si="2"/>
        <v>74</v>
      </c>
      <c r="I63" s="4" t="str">
        <f ca="1">OFFSET(Данные!C$8,$G63,0)</f>
        <v>Продукт 74</v>
      </c>
      <c r="J63" s="27">
        <f ca="1">OFFSET(Данные!D$8,$G63,0)</f>
        <v>781</v>
      </c>
      <c r="K63" s="27">
        <f ca="1">OFFSET(Данные!E$8,$G63,0)</f>
        <v>319</v>
      </c>
      <c r="L63" s="5">
        <f ca="1">OFFSET(Данные!F$8,$G63,0)</f>
        <v>0.82</v>
      </c>
      <c r="M63" s="27">
        <f ca="1">OFFSET(Данные!G$8,$G63,0)</f>
        <v>646</v>
      </c>
      <c r="N63" s="27">
        <f ca="1">OFFSET(Данные!H$8,$G63,0)</f>
        <v>585.01</v>
      </c>
      <c r="AR63" s="4">
        <f ca="1">OFFSET(Данные!C54,0,Расчеты!$D$14)</f>
        <v>673</v>
      </c>
      <c r="AS63" s="4">
        <f ca="1">OFFSET(Данные!C54,0,Расчеты!$D$15)</f>
        <v>0.11</v>
      </c>
    </row>
    <row r="64" spans="2:45" ht="12.75">
      <c r="B64" s="4">
        <f>Данные!B55</f>
        <v>47</v>
      </c>
      <c r="C64" s="4" t="str">
        <f>Данные!C55</f>
        <v>Продукт 47</v>
      </c>
      <c r="D64" s="4">
        <f ca="1">OFFSET(Данные!$C55,0,критерий_сортировки)</f>
        <v>1204</v>
      </c>
      <c r="E64" s="27">
        <f t="shared" si="0"/>
        <v>1204.000047</v>
      </c>
      <c r="F64" s="28">
        <f t="shared" si="1"/>
        <v>767.000041</v>
      </c>
      <c r="G64" s="28">
        <f t="shared" si="2"/>
        <v>41</v>
      </c>
      <c r="I64" s="4" t="str">
        <f ca="1">OFFSET(Данные!C$8,$G64,0)</f>
        <v>Продукт 41</v>
      </c>
      <c r="J64" s="27">
        <f ca="1">OFFSET(Данные!D$8,$G64,0)</f>
        <v>767</v>
      </c>
      <c r="K64" s="27">
        <f ca="1">OFFSET(Данные!E$8,$G64,0)</f>
        <v>380</v>
      </c>
      <c r="L64" s="5">
        <f ca="1">OFFSET(Данные!F$8,$G64,0)</f>
        <v>0.86</v>
      </c>
      <c r="M64" s="27">
        <f ca="1">OFFSET(Данные!G$8,$G64,0)</f>
        <v>559</v>
      </c>
      <c r="N64" s="27">
        <f ca="1">OFFSET(Данные!H$8,$G64,0)</f>
        <v>517.96</v>
      </c>
      <c r="AR64" s="4">
        <f ca="1">OFFSET(Данные!C55,0,Расчеты!$D$14)</f>
        <v>1204</v>
      </c>
      <c r="AS64" s="4">
        <f ca="1">OFFSET(Данные!C55,0,Расчеты!$D$15)</f>
        <v>0.16</v>
      </c>
    </row>
    <row r="65" spans="2:45" ht="12.75">
      <c r="B65" s="4">
        <f>Данные!B56</f>
        <v>48</v>
      </c>
      <c r="C65" s="4" t="str">
        <f>Данные!C56</f>
        <v>Продукт 48</v>
      </c>
      <c r="D65" s="4">
        <f ca="1">OFFSET(Данные!$C56,0,критерий_сортировки)</f>
        <v>678</v>
      </c>
      <c r="E65" s="27">
        <f t="shared" si="0"/>
        <v>678.000048</v>
      </c>
      <c r="F65" s="28">
        <f t="shared" si="1"/>
        <v>760.000003</v>
      </c>
      <c r="G65" s="28">
        <f t="shared" si="2"/>
        <v>3</v>
      </c>
      <c r="I65" s="4" t="str">
        <f ca="1">OFFSET(Данные!C$8,$G65,0)</f>
        <v>Продукт 3</v>
      </c>
      <c r="J65" s="27">
        <f ca="1">OFFSET(Данные!D$8,$G65,0)</f>
        <v>760</v>
      </c>
      <c r="K65" s="27">
        <f ca="1">OFFSET(Данные!E$8,$G65,0)</f>
        <v>9</v>
      </c>
      <c r="L65" s="5">
        <f ca="1">OFFSET(Данные!F$8,$G65,0)</f>
        <v>0.95</v>
      </c>
      <c r="M65" s="27">
        <f ca="1">OFFSET(Данные!G$8,$G65,0)</f>
        <v>372</v>
      </c>
      <c r="N65" s="27">
        <f ca="1">OFFSET(Данные!H$8,$G65,0)</f>
        <v>503.34</v>
      </c>
      <c r="AR65" s="4">
        <f ca="1">OFFSET(Данные!C56,0,Расчеты!$D$14)</f>
        <v>678</v>
      </c>
      <c r="AS65" s="4">
        <f ca="1">OFFSET(Данные!C56,0,Расчеты!$D$15)</f>
        <v>0.86</v>
      </c>
    </row>
    <row r="66" spans="2:45" ht="12.75">
      <c r="B66" s="4">
        <f>Данные!B57</f>
        <v>49</v>
      </c>
      <c r="C66" s="4" t="str">
        <f>Данные!C57</f>
        <v>Продукт 49</v>
      </c>
      <c r="D66" s="4">
        <f ca="1">OFFSET(Данные!$C57,0,критерий_сортировки)</f>
        <v>389</v>
      </c>
      <c r="E66" s="27">
        <f t="shared" si="0"/>
        <v>389.000049</v>
      </c>
      <c r="F66" s="28">
        <f t="shared" si="1"/>
        <v>725.000017</v>
      </c>
      <c r="G66" s="28">
        <f t="shared" si="2"/>
        <v>17</v>
      </c>
      <c r="I66" s="4" t="str">
        <f ca="1">OFFSET(Данные!C$8,$G66,0)</f>
        <v>Продукт 17</v>
      </c>
      <c r="J66" s="27">
        <f ca="1">OFFSET(Данные!D$8,$G66,0)</f>
        <v>725</v>
      </c>
      <c r="K66" s="27">
        <f ca="1">OFFSET(Данные!E$8,$G66,0)</f>
        <v>172</v>
      </c>
      <c r="L66" s="5">
        <f ca="1">OFFSET(Данные!F$8,$G66,0)</f>
        <v>0.57</v>
      </c>
      <c r="M66" s="27">
        <f ca="1">OFFSET(Данные!G$8,$G66,0)</f>
        <v>540</v>
      </c>
      <c r="N66" s="27">
        <f ca="1">OFFSET(Данные!H$8,$G66,0)</f>
        <v>10.18</v>
      </c>
      <c r="AR66" s="4">
        <f ca="1">OFFSET(Данные!C57,0,Расчеты!$D$14)</f>
        <v>389</v>
      </c>
      <c r="AS66" s="4">
        <f ca="1">OFFSET(Данные!C57,0,Расчеты!$D$15)</f>
        <v>0.24</v>
      </c>
    </row>
    <row r="67" spans="2:45" ht="12.75">
      <c r="B67" s="4">
        <f>Данные!B58</f>
        <v>50</v>
      </c>
      <c r="C67" s="4" t="str">
        <f>Данные!C58</f>
        <v>Продукт 50</v>
      </c>
      <c r="D67" s="4">
        <f ca="1">OFFSET(Данные!$C58,0,критерий_сортировки)</f>
        <v>394</v>
      </c>
      <c r="E67" s="27">
        <f t="shared" si="0"/>
        <v>394.00005</v>
      </c>
      <c r="F67" s="28">
        <f t="shared" si="1"/>
        <v>682.000014</v>
      </c>
      <c r="G67" s="28">
        <f t="shared" si="2"/>
        <v>14</v>
      </c>
      <c r="I67" s="4" t="str">
        <f ca="1">OFFSET(Данные!C$8,$G67,0)</f>
        <v>Продукт 14</v>
      </c>
      <c r="J67" s="27">
        <f ca="1">OFFSET(Данные!D$8,$G67,0)</f>
        <v>682</v>
      </c>
      <c r="K67" s="27">
        <f ca="1">OFFSET(Данные!E$8,$G67,0)</f>
        <v>417</v>
      </c>
      <c r="L67" s="5">
        <f ca="1">OFFSET(Данные!F$8,$G67,0)</f>
        <v>0.41</v>
      </c>
      <c r="M67" s="27">
        <f ca="1">OFFSET(Данные!G$8,$G67,0)</f>
        <v>330</v>
      </c>
      <c r="N67" s="27">
        <f ca="1">OFFSET(Данные!H$8,$G67,0)</f>
        <v>404.07</v>
      </c>
      <c r="AR67" s="4">
        <f ca="1">OFFSET(Данные!C58,0,Расчеты!$D$14)</f>
        <v>394</v>
      </c>
      <c r="AS67" s="4">
        <f ca="1">OFFSET(Данные!C58,0,Расчеты!$D$15)</f>
        <v>0.1</v>
      </c>
    </row>
    <row r="68" spans="2:45" ht="12.75">
      <c r="B68" s="4">
        <f>Данные!B59</f>
        <v>51</v>
      </c>
      <c r="C68" s="4" t="str">
        <f>Данные!C59</f>
        <v>Продукт 51</v>
      </c>
      <c r="D68" s="4">
        <f ca="1">OFFSET(Данные!$C59,0,критерий_сортировки)</f>
        <v>120</v>
      </c>
      <c r="E68" s="27">
        <f t="shared" si="0"/>
        <v>120.000051</v>
      </c>
      <c r="F68" s="28">
        <f t="shared" si="1"/>
        <v>680.000093</v>
      </c>
      <c r="G68" s="28">
        <f t="shared" si="2"/>
        <v>93</v>
      </c>
      <c r="I68" s="4" t="str">
        <f ca="1">OFFSET(Данные!C$8,$G68,0)</f>
        <v>Продукт 93</v>
      </c>
      <c r="J68" s="27">
        <f ca="1">OFFSET(Данные!D$8,$G68,0)</f>
        <v>680</v>
      </c>
      <c r="K68" s="27">
        <f ca="1">OFFSET(Данные!E$8,$G68,0)</f>
        <v>49</v>
      </c>
      <c r="L68" s="5">
        <f ca="1">OFFSET(Данные!F$8,$G68,0)</f>
        <v>0.03</v>
      </c>
      <c r="M68" s="27">
        <f ca="1">OFFSET(Данные!G$8,$G68,0)</f>
        <v>496</v>
      </c>
      <c r="N68" s="27">
        <f ca="1">OFFSET(Данные!H$8,$G68,0)</f>
        <v>614.98</v>
      </c>
      <c r="AR68" s="4">
        <f ca="1">OFFSET(Данные!C59,0,Расчеты!$D$14)</f>
        <v>120</v>
      </c>
      <c r="AS68" s="4">
        <f ca="1">OFFSET(Данные!C59,0,Расчеты!$D$15)</f>
        <v>0.46</v>
      </c>
    </row>
    <row r="69" spans="2:45" ht="12.75">
      <c r="B69" s="4">
        <f>Данные!B60</f>
        <v>52</v>
      </c>
      <c r="C69" s="4" t="str">
        <f>Данные!C60</f>
        <v>Продукт 52</v>
      </c>
      <c r="D69" s="4">
        <f ca="1">OFFSET(Данные!$C60,0,критерий_сортировки)</f>
        <v>305</v>
      </c>
      <c r="E69" s="27">
        <f t="shared" si="0"/>
        <v>305.000052</v>
      </c>
      <c r="F69" s="28">
        <f t="shared" si="1"/>
        <v>678.000048</v>
      </c>
      <c r="G69" s="28">
        <f t="shared" si="2"/>
        <v>48</v>
      </c>
      <c r="I69" s="4" t="str">
        <f ca="1">OFFSET(Данные!C$8,$G69,0)</f>
        <v>Продукт 48</v>
      </c>
      <c r="J69" s="27">
        <f ca="1">OFFSET(Данные!D$8,$G69,0)</f>
        <v>678</v>
      </c>
      <c r="K69" s="27">
        <f ca="1">OFFSET(Данные!E$8,$G69,0)</f>
        <v>129</v>
      </c>
      <c r="L69" s="5">
        <f ca="1">OFFSET(Данные!F$8,$G69,0)</f>
        <v>0.86</v>
      </c>
      <c r="M69" s="27">
        <f ca="1">OFFSET(Данные!G$8,$G69,0)</f>
        <v>538</v>
      </c>
      <c r="N69" s="27">
        <f ca="1">OFFSET(Данные!H$8,$G69,0)</f>
        <v>793.37</v>
      </c>
      <c r="AR69" s="4">
        <f ca="1">OFFSET(Данные!C60,0,Расчеты!$D$14)</f>
        <v>305</v>
      </c>
      <c r="AS69" s="4">
        <f ca="1">OFFSET(Данные!C60,0,Расчеты!$D$15)</f>
        <v>0.22</v>
      </c>
    </row>
    <row r="70" spans="2:45" ht="12.75">
      <c r="B70" s="4">
        <f>Данные!B61</f>
        <v>53</v>
      </c>
      <c r="C70" s="4" t="str">
        <f>Данные!C61</f>
        <v>Продукт 53</v>
      </c>
      <c r="D70" s="4">
        <f ca="1">OFFSET(Данные!$C61,0,критерий_сортировки)</f>
        <v>1108</v>
      </c>
      <c r="E70" s="27">
        <f t="shared" si="0"/>
        <v>1108.000053</v>
      </c>
      <c r="F70" s="28">
        <f t="shared" si="1"/>
        <v>673.000046</v>
      </c>
      <c r="G70" s="28">
        <f t="shared" si="2"/>
        <v>46</v>
      </c>
      <c r="I70" s="4" t="str">
        <f ca="1">OFFSET(Данные!C$8,$G70,0)</f>
        <v>Продукт 46</v>
      </c>
      <c r="J70" s="27">
        <f ca="1">OFFSET(Данные!D$8,$G70,0)</f>
        <v>673</v>
      </c>
      <c r="K70" s="27">
        <f ca="1">OFFSET(Данные!E$8,$G70,0)</f>
        <v>352</v>
      </c>
      <c r="L70" s="5">
        <f ca="1">OFFSET(Данные!F$8,$G70,0)</f>
        <v>0.11</v>
      </c>
      <c r="M70" s="27">
        <f ca="1">OFFSET(Данные!G$8,$G70,0)</f>
        <v>420</v>
      </c>
      <c r="N70" s="27">
        <f ca="1">OFFSET(Данные!H$8,$G70,0)</f>
        <v>568.95</v>
      </c>
      <c r="AR70" s="4">
        <f ca="1">OFFSET(Данные!C61,0,Расчеты!$D$14)</f>
        <v>1108</v>
      </c>
      <c r="AS70" s="4">
        <f ca="1">OFFSET(Данные!C61,0,Расчеты!$D$15)</f>
        <v>0.37</v>
      </c>
    </row>
    <row r="71" spans="2:45" ht="12.75">
      <c r="B71" s="4">
        <f>Данные!B62</f>
        <v>54</v>
      </c>
      <c r="C71" s="4" t="str">
        <f>Данные!C62</f>
        <v>Продукт 54</v>
      </c>
      <c r="D71" s="4">
        <f ca="1">OFFSET(Данные!$C62,0,критерий_сортировки)</f>
        <v>295</v>
      </c>
      <c r="E71" s="27">
        <f t="shared" si="0"/>
        <v>295.000054</v>
      </c>
      <c r="F71" s="28">
        <f t="shared" si="1"/>
        <v>671.000061</v>
      </c>
      <c r="G71" s="28">
        <f t="shared" si="2"/>
        <v>61</v>
      </c>
      <c r="I71" s="4" t="str">
        <f ca="1">OFFSET(Данные!C$8,$G71,0)</f>
        <v>Продукт 61</v>
      </c>
      <c r="J71" s="27">
        <f ca="1">OFFSET(Данные!D$8,$G71,0)</f>
        <v>671</v>
      </c>
      <c r="K71" s="27">
        <f ca="1">OFFSET(Данные!E$8,$G71,0)</f>
        <v>488</v>
      </c>
      <c r="L71" s="5">
        <f ca="1">OFFSET(Данные!F$8,$G71,0)</f>
        <v>0.64</v>
      </c>
      <c r="M71" s="27">
        <f ca="1">OFFSET(Данные!G$8,$G71,0)</f>
        <v>342</v>
      </c>
      <c r="N71" s="27">
        <f ca="1">OFFSET(Данные!H$8,$G71,0)</f>
        <v>622.22</v>
      </c>
      <c r="AR71" s="4">
        <f ca="1">OFFSET(Данные!C62,0,Расчеты!$D$14)</f>
        <v>295</v>
      </c>
      <c r="AS71" s="4">
        <f ca="1">OFFSET(Данные!C62,0,Расчеты!$D$15)</f>
        <v>0.91</v>
      </c>
    </row>
    <row r="72" spans="2:45" ht="12.75">
      <c r="B72" s="4">
        <f>Данные!B63</f>
        <v>55</v>
      </c>
      <c r="C72" s="4" t="str">
        <f>Данные!C63</f>
        <v>Продукт 55</v>
      </c>
      <c r="D72" s="4">
        <f ca="1">OFFSET(Данные!$C63,0,критерий_сортировки)</f>
        <v>143</v>
      </c>
      <c r="E72" s="27">
        <f t="shared" si="0"/>
        <v>143.000055</v>
      </c>
      <c r="F72" s="28">
        <f t="shared" si="1"/>
        <v>669.000012</v>
      </c>
      <c r="G72" s="28">
        <f t="shared" si="2"/>
        <v>12</v>
      </c>
      <c r="I72" s="4" t="str">
        <f ca="1">OFFSET(Данные!C$8,$G72,0)</f>
        <v>Продукт 12</v>
      </c>
      <c r="J72" s="27">
        <f ca="1">OFFSET(Данные!D$8,$G72,0)</f>
        <v>669</v>
      </c>
      <c r="K72" s="27">
        <f ca="1">OFFSET(Данные!E$8,$G72,0)</f>
        <v>124</v>
      </c>
      <c r="L72" s="5">
        <f ca="1">OFFSET(Данные!F$8,$G72,0)</f>
        <v>0.22</v>
      </c>
      <c r="M72" s="27">
        <f ca="1">OFFSET(Данные!G$8,$G72,0)</f>
        <v>609</v>
      </c>
      <c r="N72" s="27">
        <f ca="1">OFFSET(Данные!H$8,$G72,0)</f>
        <v>983.54</v>
      </c>
      <c r="AR72" s="4">
        <f ca="1">OFFSET(Данные!C63,0,Расчеты!$D$14)</f>
        <v>143</v>
      </c>
      <c r="AS72" s="4">
        <f ca="1">OFFSET(Данные!C63,0,Расчеты!$D$15)</f>
        <v>0.42</v>
      </c>
    </row>
    <row r="73" spans="2:45" ht="12.75">
      <c r="B73" s="4">
        <f>Данные!B64</f>
        <v>56</v>
      </c>
      <c r="C73" s="4" t="str">
        <f>Данные!C64</f>
        <v>Продукт 56</v>
      </c>
      <c r="D73" s="4">
        <f ca="1">OFFSET(Данные!$C64,0,критерий_сортировки)</f>
        <v>891</v>
      </c>
      <c r="E73" s="27">
        <f t="shared" si="0"/>
        <v>891.000056</v>
      </c>
      <c r="F73" s="28">
        <f t="shared" si="1"/>
        <v>638.000097</v>
      </c>
      <c r="G73" s="28">
        <f t="shared" si="2"/>
        <v>97</v>
      </c>
      <c r="I73" s="4" t="str">
        <f ca="1">OFFSET(Данные!C$8,$G73,0)</f>
        <v>Продукт 97</v>
      </c>
      <c r="J73" s="27">
        <f ca="1">OFFSET(Данные!D$8,$G73,0)</f>
        <v>638</v>
      </c>
      <c r="K73" s="27">
        <f ca="1">OFFSET(Данные!E$8,$G73,0)</f>
        <v>393</v>
      </c>
      <c r="L73" s="5">
        <f ca="1">OFFSET(Данные!F$8,$G73,0)</f>
        <v>0.65</v>
      </c>
      <c r="M73" s="27">
        <f ca="1">OFFSET(Данные!G$8,$G73,0)</f>
        <v>587</v>
      </c>
      <c r="N73" s="27">
        <f ca="1">OFFSET(Данные!H$8,$G73,0)</f>
        <v>944.86</v>
      </c>
      <c r="AR73" s="4">
        <f ca="1">OFFSET(Данные!C64,0,Расчеты!$D$14)</f>
        <v>891</v>
      </c>
      <c r="AS73" s="4">
        <f ca="1">OFFSET(Данные!C64,0,Расчеты!$D$15)</f>
        <v>0.92</v>
      </c>
    </row>
    <row r="74" spans="2:45" ht="12.75">
      <c r="B74" s="4">
        <f>Данные!B65</f>
        <v>57</v>
      </c>
      <c r="C74" s="4" t="str">
        <f>Данные!C65</f>
        <v>Продукт 57</v>
      </c>
      <c r="D74" s="4">
        <f ca="1">OFFSET(Данные!$C65,0,критерий_сортировки)</f>
        <v>445</v>
      </c>
      <c r="E74" s="27">
        <f t="shared" si="0"/>
        <v>445.000057</v>
      </c>
      <c r="F74" s="28">
        <f t="shared" si="1"/>
        <v>611.000063</v>
      </c>
      <c r="G74" s="28">
        <f t="shared" si="2"/>
        <v>63</v>
      </c>
      <c r="I74" s="4" t="str">
        <f ca="1">OFFSET(Данные!C$8,$G74,0)</f>
        <v>Продукт 63</v>
      </c>
      <c r="J74" s="27">
        <f ca="1">OFFSET(Данные!D$8,$G74,0)</f>
        <v>611</v>
      </c>
      <c r="K74" s="27">
        <f ca="1">OFFSET(Данные!E$8,$G74,0)</f>
        <v>429</v>
      </c>
      <c r="L74" s="5">
        <f ca="1">OFFSET(Данные!F$8,$G74,0)</f>
        <v>0.35</v>
      </c>
      <c r="M74" s="27">
        <f ca="1">OFFSET(Данные!G$8,$G74,0)</f>
        <v>615</v>
      </c>
      <c r="N74" s="27">
        <f ca="1">OFFSET(Данные!H$8,$G74,0)</f>
        <v>166.92</v>
      </c>
      <c r="AR74" s="4">
        <f ca="1">OFFSET(Данные!C65,0,Расчеты!$D$14)</f>
        <v>445</v>
      </c>
      <c r="AS74" s="4">
        <f ca="1">OFFSET(Данные!C65,0,Расчеты!$D$15)</f>
        <v>0.56</v>
      </c>
    </row>
    <row r="75" spans="2:45" ht="12.75">
      <c r="B75" s="4">
        <f>Данные!B66</f>
        <v>58</v>
      </c>
      <c r="C75" s="4" t="str">
        <f>Данные!C66</f>
        <v>Продукт 58</v>
      </c>
      <c r="D75" s="4">
        <f ca="1">OFFSET(Данные!$C66,0,критерий_сортировки)</f>
        <v>284</v>
      </c>
      <c r="E75" s="27">
        <f t="shared" si="0"/>
        <v>284.000058</v>
      </c>
      <c r="F75" s="28">
        <f t="shared" si="1"/>
        <v>592.000066</v>
      </c>
      <c r="G75" s="28">
        <f t="shared" si="2"/>
        <v>66</v>
      </c>
      <c r="I75" s="4" t="str">
        <f ca="1">OFFSET(Данные!C$8,$G75,0)</f>
        <v>Продукт 66</v>
      </c>
      <c r="J75" s="27">
        <f ca="1">OFFSET(Данные!D$8,$G75,0)</f>
        <v>592</v>
      </c>
      <c r="K75" s="27">
        <f ca="1">OFFSET(Данные!E$8,$G75,0)</f>
        <v>253</v>
      </c>
      <c r="L75" s="5">
        <f ca="1">OFFSET(Данные!F$8,$G75,0)</f>
        <v>0.74</v>
      </c>
      <c r="M75" s="27">
        <f ca="1">OFFSET(Данные!G$8,$G75,0)</f>
        <v>496</v>
      </c>
      <c r="N75" s="27">
        <f ca="1">OFFSET(Данные!H$8,$G75,0)</f>
        <v>621.81</v>
      </c>
      <c r="AR75" s="4">
        <f ca="1">OFFSET(Данные!C66,0,Расчеты!$D$14)</f>
        <v>284</v>
      </c>
      <c r="AS75" s="4">
        <f ca="1">OFFSET(Данные!C66,0,Расчеты!$D$15)</f>
        <v>0.62</v>
      </c>
    </row>
    <row r="76" spans="2:45" ht="12.75">
      <c r="B76" s="4">
        <f>Данные!B67</f>
        <v>59</v>
      </c>
      <c r="C76" s="4" t="str">
        <f>Данные!C67</f>
        <v>Продукт 59</v>
      </c>
      <c r="D76" s="4">
        <f ca="1">OFFSET(Данные!$C67,0,критерий_сортировки)</f>
        <v>154</v>
      </c>
      <c r="E76" s="27">
        <f t="shared" si="0"/>
        <v>154.000059</v>
      </c>
      <c r="F76" s="28">
        <f t="shared" si="1"/>
        <v>576.000077</v>
      </c>
      <c r="G76" s="28">
        <f t="shared" si="2"/>
        <v>77</v>
      </c>
      <c r="I76" s="4" t="str">
        <f ca="1">OFFSET(Данные!C$8,$G76,0)</f>
        <v>Продукт 77</v>
      </c>
      <c r="J76" s="27">
        <f ca="1">OFFSET(Данные!D$8,$G76,0)</f>
        <v>576</v>
      </c>
      <c r="K76" s="27">
        <f ca="1">OFFSET(Данные!E$8,$G76,0)</f>
        <v>372</v>
      </c>
      <c r="L76" s="5">
        <f ca="1">OFFSET(Данные!F$8,$G76,0)</f>
        <v>0.37</v>
      </c>
      <c r="M76" s="27">
        <f ca="1">OFFSET(Данные!G$8,$G76,0)</f>
        <v>675</v>
      </c>
      <c r="N76" s="27">
        <f ca="1">OFFSET(Данные!H$8,$G76,0)</f>
        <v>239.9</v>
      </c>
      <c r="AR76" s="4">
        <f ca="1">OFFSET(Данные!C67,0,Расчеты!$D$14)</f>
        <v>154</v>
      </c>
      <c r="AS76" s="4">
        <f ca="1">OFFSET(Данные!C67,0,Расчеты!$D$15)</f>
        <v>0.83</v>
      </c>
    </row>
    <row r="77" spans="2:45" ht="12.75">
      <c r="B77" s="4">
        <f>Данные!B68</f>
        <v>60</v>
      </c>
      <c r="C77" s="4" t="str">
        <f>Данные!C68</f>
        <v>Продукт 60</v>
      </c>
      <c r="D77" s="4">
        <f ca="1">OFFSET(Данные!$C68,0,критерий_сортировки)</f>
        <v>175</v>
      </c>
      <c r="E77" s="27">
        <f t="shared" si="0"/>
        <v>175.00006</v>
      </c>
      <c r="F77" s="28">
        <f t="shared" si="1"/>
        <v>522.000018</v>
      </c>
      <c r="G77" s="28">
        <f t="shared" si="2"/>
        <v>18</v>
      </c>
      <c r="I77" s="4" t="str">
        <f ca="1">OFFSET(Данные!C$8,$G77,0)</f>
        <v>Продукт 18</v>
      </c>
      <c r="J77" s="27">
        <f ca="1">OFFSET(Данные!D$8,$G77,0)</f>
        <v>522</v>
      </c>
      <c r="K77" s="27">
        <f ca="1">OFFSET(Данные!E$8,$G77,0)</f>
        <v>227</v>
      </c>
      <c r="L77" s="5">
        <f ca="1">OFFSET(Данные!F$8,$G77,0)</f>
        <v>0.22</v>
      </c>
      <c r="M77" s="27">
        <f ca="1">OFFSET(Данные!G$8,$G77,0)</f>
        <v>669</v>
      </c>
      <c r="N77" s="27">
        <f ca="1">OFFSET(Данные!H$8,$G77,0)</f>
        <v>775.1</v>
      </c>
      <c r="AR77" s="4">
        <f ca="1">OFFSET(Данные!C68,0,Расчеты!$D$14)</f>
        <v>175</v>
      </c>
      <c r="AS77" s="4">
        <f ca="1">OFFSET(Данные!C68,0,Расчеты!$D$15)</f>
        <v>0.67</v>
      </c>
    </row>
    <row r="78" spans="2:45" ht="12.75">
      <c r="B78" s="4">
        <f>Данные!B69</f>
        <v>61</v>
      </c>
      <c r="C78" s="4" t="str">
        <f>Данные!C69</f>
        <v>Продукт 61</v>
      </c>
      <c r="D78" s="4">
        <f ca="1">OFFSET(Данные!$C69,0,критерий_сортировки)</f>
        <v>671</v>
      </c>
      <c r="E78" s="27">
        <f t="shared" si="0"/>
        <v>671.000061</v>
      </c>
      <c r="F78" s="28">
        <f t="shared" si="1"/>
        <v>501.000009</v>
      </c>
      <c r="G78" s="28">
        <f t="shared" si="2"/>
        <v>9</v>
      </c>
      <c r="I78" s="4" t="str">
        <f ca="1">OFFSET(Данные!C$8,$G78,0)</f>
        <v>Продукт 9</v>
      </c>
      <c r="J78" s="27">
        <f ca="1">OFFSET(Данные!D$8,$G78,0)</f>
        <v>501</v>
      </c>
      <c r="K78" s="27">
        <f ca="1">OFFSET(Данные!E$8,$G78,0)</f>
        <v>486</v>
      </c>
      <c r="L78" s="5">
        <f ca="1">OFFSET(Данные!F$8,$G78,0)</f>
        <v>0.56</v>
      </c>
      <c r="M78" s="27">
        <f ca="1">OFFSET(Данные!G$8,$G78,0)</f>
        <v>464</v>
      </c>
      <c r="N78" s="27">
        <f ca="1">OFFSET(Данные!H$8,$G78,0)</f>
        <v>265</v>
      </c>
      <c r="AR78" s="4">
        <f ca="1">OFFSET(Данные!C69,0,Расчеты!$D$14)</f>
        <v>671</v>
      </c>
      <c r="AS78" s="4">
        <f ca="1">OFFSET(Данные!C69,0,Расчеты!$D$15)</f>
        <v>0.64</v>
      </c>
    </row>
    <row r="79" spans="2:45" ht="12.75">
      <c r="B79" s="4">
        <f>Данные!B70</f>
        <v>62</v>
      </c>
      <c r="C79" s="4" t="str">
        <f>Данные!C70</f>
        <v>Продукт 62</v>
      </c>
      <c r="D79" s="4">
        <f ca="1">OFFSET(Данные!$C70,0,критерий_сортировки)</f>
        <v>266</v>
      </c>
      <c r="E79" s="27">
        <f t="shared" si="0"/>
        <v>266.000062</v>
      </c>
      <c r="F79" s="28">
        <f t="shared" si="1"/>
        <v>496.000076</v>
      </c>
      <c r="G79" s="28">
        <f t="shared" si="2"/>
        <v>76</v>
      </c>
      <c r="I79" s="4" t="str">
        <f ca="1">OFFSET(Данные!C$8,$G79,0)</f>
        <v>Продукт 76</v>
      </c>
      <c r="J79" s="27">
        <f ca="1">OFFSET(Данные!D$8,$G79,0)</f>
        <v>496</v>
      </c>
      <c r="K79" s="27">
        <f ca="1">OFFSET(Данные!E$8,$G79,0)</f>
        <v>242</v>
      </c>
      <c r="L79" s="5">
        <f ca="1">OFFSET(Данные!F$8,$G79,0)</f>
        <v>0.83</v>
      </c>
      <c r="M79" s="27">
        <f ca="1">OFFSET(Данные!G$8,$G79,0)</f>
        <v>344</v>
      </c>
      <c r="N79" s="27">
        <f ca="1">OFFSET(Данные!H$8,$G79,0)</f>
        <v>577.15</v>
      </c>
      <c r="AR79" s="4">
        <f ca="1">OFFSET(Данные!C70,0,Расчеты!$D$14)</f>
        <v>266</v>
      </c>
      <c r="AS79" s="4">
        <f ca="1">OFFSET(Данные!C70,0,Расчеты!$D$15)</f>
        <v>0.54</v>
      </c>
    </row>
    <row r="80" spans="2:45" ht="12.75">
      <c r="B80" s="4">
        <f>Данные!B71</f>
        <v>63</v>
      </c>
      <c r="C80" s="4" t="str">
        <f>Данные!C71</f>
        <v>Продукт 63</v>
      </c>
      <c r="D80" s="4">
        <f ca="1">OFFSET(Данные!$C71,0,критерий_сортировки)</f>
        <v>611</v>
      </c>
      <c r="E80" s="27">
        <f t="shared" si="0"/>
        <v>611.000063</v>
      </c>
      <c r="F80" s="28">
        <f t="shared" si="1"/>
        <v>488.000075</v>
      </c>
      <c r="G80" s="28">
        <f t="shared" si="2"/>
        <v>75</v>
      </c>
      <c r="I80" s="4" t="str">
        <f ca="1">OFFSET(Данные!C$8,$G80,0)</f>
        <v>Продукт 75</v>
      </c>
      <c r="J80" s="27">
        <f ca="1">OFFSET(Данные!D$8,$G80,0)</f>
        <v>488</v>
      </c>
      <c r="K80" s="27">
        <f ca="1">OFFSET(Данные!E$8,$G80,0)</f>
        <v>476</v>
      </c>
      <c r="L80" s="5">
        <f ca="1">OFFSET(Данные!F$8,$G80,0)</f>
        <v>0.02</v>
      </c>
      <c r="M80" s="27">
        <f ca="1">OFFSET(Данные!G$8,$G80,0)</f>
        <v>426</v>
      </c>
      <c r="N80" s="27">
        <f ca="1">OFFSET(Данные!H$8,$G80,0)</f>
        <v>958.79</v>
      </c>
      <c r="AR80" s="4">
        <f ca="1">OFFSET(Данные!C71,0,Расчеты!$D$14)</f>
        <v>611</v>
      </c>
      <c r="AS80" s="4">
        <f ca="1">OFFSET(Данные!C71,0,Расчеты!$D$15)</f>
        <v>0.35</v>
      </c>
    </row>
    <row r="81" spans="2:45" ht="12.75">
      <c r="B81" s="4">
        <f>Данные!B72</f>
        <v>64</v>
      </c>
      <c r="C81" s="4" t="str">
        <f>Данные!C72</f>
        <v>Продукт 64</v>
      </c>
      <c r="D81" s="4">
        <f ca="1">OFFSET(Данные!$C72,0,критерий_сортировки)</f>
        <v>259</v>
      </c>
      <c r="E81" s="27">
        <f t="shared" si="0"/>
        <v>259.000064</v>
      </c>
      <c r="F81" s="28">
        <f t="shared" si="1"/>
        <v>482.000023</v>
      </c>
      <c r="G81" s="28">
        <f t="shared" si="2"/>
        <v>23</v>
      </c>
      <c r="I81" s="4" t="str">
        <f ca="1">OFFSET(Данные!C$8,$G81,0)</f>
        <v>Продукт 23</v>
      </c>
      <c r="J81" s="27">
        <f ca="1">OFFSET(Данные!D$8,$G81,0)</f>
        <v>482</v>
      </c>
      <c r="K81" s="27">
        <f ca="1">OFFSET(Данные!E$8,$G81,0)</f>
        <v>116</v>
      </c>
      <c r="L81" s="5">
        <f ca="1">OFFSET(Данные!F$8,$G81,0)</f>
        <v>0.71</v>
      </c>
      <c r="M81" s="27">
        <f ca="1">OFFSET(Данные!G$8,$G81,0)</f>
        <v>425</v>
      </c>
      <c r="N81" s="27">
        <f ca="1">OFFSET(Данные!H$8,$G81,0)</f>
        <v>337.36</v>
      </c>
      <c r="AR81" s="4">
        <f ca="1">OFFSET(Данные!C72,0,Расчеты!$D$14)</f>
        <v>259</v>
      </c>
      <c r="AS81" s="4">
        <f ca="1">OFFSET(Данные!C72,0,Расчеты!$D$15)</f>
        <v>0.28</v>
      </c>
    </row>
    <row r="82" spans="2:45" ht="12.75">
      <c r="B82" s="4">
        <f>Данные!B73</f>
        <v>65</v>
      </c>
      <c r="C82" s="4" t="str">
        <f>Данные!C73</f>
        <v>Продукт 65</v>
      </c>
      <c r="D82" s="4">
        <f ca="1">OFFSET(Данные!$C73,0,критерий_сортировки)</f>
        <v>1368</v>
      </c>
      <c r="E82" s="27">
        <f t="shared" si="0"/>
        <v>1368.000065</v>
      </c>
      <c r="F82" s="28">
        <f t="shared" si="1"/>
        <v>465.000088</v>
      </c>
      <c r="G82" s="28">
        <f t="shared" si="2"/>
        <v>88</v>
      </c>
      <c r="I82" s="4" t="str">
        <f ca="1">OFFSET(Данные!C$8,$G82,0)</f>
        <v>Продукт 88</v>
      </c>
      <c r="J82" s="27">
        <f ca="1">OFFSET(Данные!D$8,$G82,0)</f>
        <v>465</v>
      </c>
      <c r="K82" s="27">
        <f ca="1">OFFSET(Данные!E$8,$G82,0)</f>
        <v>471</v>
      </c>
      <c r="L82" s="5">
        <f ca="1">OFFSET(Данные!F$8,$G82,0)</f>
        <v>0.85</v>
      </c>
      <c r="M82" s="27">
        <f ca="1">OFFSET(Данные!G$8,$G82,0)</f>
        <v>731</v>
      </c>
      <c r="N82" s="27">
        <f ca="1">OFFSET(Данные!H$8,$G82,0)</f>
        <v>970.51</v>
      </c>
      <c r="AR82" s="4">
        <f ca="1">OFFSET(Данные!C73,0,Расчеты!$D$14)</f>
        <v>1368</v>
      </c>
      <c r="AS82" s="4">
        <f ca="1">OFFSET(Данные!C73,0,Расчеты!$D$15)</f>
        <v>0.28</v>
      </c>
    </row>
    <row r="83" spans="2:45" ht="12.75">
      <c r="B83" s="4">
        <f>Данные!B74</f>
        <v>66</v>
      </c>
      <c r="C83" s="4" t="str">
        <f>Данные!C74</f>
        <v>Продукт 66</v>
      </c>
      <c r="D83" s="4">
        <f ca="1">OFFSET(Данные!$C74,0,критерий_сортировки)</f>
        <v>592</v>
      </c>
      <c r="E83" s="27">
        <f aca="true" t="shared" si="20" ref="E83:E117">$D83+B83/1000000</f>
        <v>592.000066</v>
      </c>
      <c r="F83" s="28">
        <f aca="true" t="shared" si="21" ref="F83:F117">LARGE($E$18:$E$117,$B83)</f>
        <v>447.00008</v>
      </c>
      <c r="G83" s="28">
        <f aca="true" t="shared" si="22" ref="G83:G117">MATCH(F83,$E$18:$E$117,0)</f>
        <v>80</v>
      </c>
      <c r="I83" s="4" t="str">
        <f ca="1">OFFSET(Данные!C$8,$G83,0)</f>
        <v>Продукт 80</v>
      </c>
      <c r="J83" s="27">
        <f ca="1">OFFSET(Данные!D$8,$G83,0)</f>
        <v>447</v>
      </c>
      <c r="K83" s="27">
        <f ca="1">OFFSET(Данные!E$8,$G83,0)</f>
        <v>299</v>
      </c>
      <c r="L83" s="5">
        <f ca="1">OFFSET(Данные!F$8,$G83,0)</f>
        <v>0.72</v>
      </c>
      <c r="M83" s="27">
        <f ca="1">OFFSET(Данные!G$8,$G83,0)</f>
        <v>518</v>
      </c>
      <c r="N83" s="27">
        <f ca="1">OFFSET(Данные!H$8,$G83,0)</f>
        <v>759.99</v>
      </c>
      <c r="AR83" s="4">
        <f ca="1">OFFSET(Данные!C74,0,Расчеты!$D$14)</f>
        <v>592</v>
      </c>
      <c r="AS83" s="4">
        <f ca="1">OFFSET(Данные!C74,0,Расчеты!$D$15)</f>
        <v>0.74</v>
      </c>
    </row>
    <row r="84" spans="2:45" ht="12.75">
      <c r="B84" s="4">
        <f>Данные!B75</f>
        <v>67</v>
      </c>
      <c r="C84" s="4" t="str">
        <f>Данные!C75</f>
        <v>Продукт 67</v>
      </c>
      <c r="D84" s="4">
        <f ca="1">OFFSET(Данные!$C75,0,критерий_сортировки)</f>
        <v>870</v>
      </c>
      <c r="E84" s="27">
        <f t="shared" si="20"/>
        <v>870.000067</v>
      </c>
      <c r="F84" s="28">
        <f t="shared" si="21"/>
        <v>447.000013</v>
      </c>
      <c r="G84" s="28">
        <f t="shared" si="22"/>
        <v>13</v>
      </c>
      <c r="I84" s="4" t="str">
        <f ca="1">OFFSET(Данные!C$8,$G84,0)</f>
        <v>Продукт 13</v>
      </c>
      <c r="J84" s="27">
        <f ca="1">OFFSET(Данные!D$8,$G84,0)</f>
        <v>447</v>
      </c>
      <c r="K84" s="27">
        <f ca="1">OFFSET(Данные!E$8,$G84,0)</f>
        <v>489</v>
      </c>
      <c r="L84" s="5">
        <f ca="1">OFFSET(Данные!F$8,$G84,0)</f>
        <v>0.13</v>
      </c>
      <c r="M84" s="27">
        <f ca="1">OFFSET(Данные!G$8,$G84,0)</f>
        <v>352</v>
      </c>
      <c r="N84" s="27">
        <f ca="1">OFFSET(Данные!H$8,$G84,0)</f>
        <v>141.18</v>
      </c>
      <c r="AR84" s="4">
        <f ca="1">OFFSET(Данные!C75,0,Расчеты!$D$14)</f>
        <v>870</v>
      </c>
      <c r="AS84" s="4">
        <f ca="1">OFFSET(Данные!C75,0,Расчеты!$D$15)</f>
        <v>0.08</v>
      </c>
    </row>
    <row r="85" spans="2:45" ht="12.75">
      <c r="B85" s="4">
        <f>Данные!B76</f>
        <v>68</v>
      </c>
      <c r="C85" s="4" t="str">
        <f>Данные!C76</f>
        <v>Продукт 68</v>
      </c>
      <c r="D85" s="4">
        <f ca="1">OFFSET(Данные!$C76,0,критерий_сортировки)</f>
        <v>1236</v>
      </c>
      <c r="E85" s="27">
        <f t="shared" si="20"/>
        <v>1236.000068</v>
      </c>
      <c r="F85" s="28">
        <f t="shared" si="21"/>
        <v>445.000057</v>
      </c>
      <c r="G85" s="28">
        <f t="shared" si="22"/>
        <v>57</v>
      </c>
      <c r="I85" s="4" t="str">
        <f ca="1">OFFSET(Данные!C$8,$G85,0)</f>
        <v>Продукт 57</v>
      </c>
      <c r="J85" s="27">
        <f ca="1">OFFSET(Данные!D$8,$G85,0)</f>
        <v>445</v>
      </c>
      <c r="K85" s="27">
        <f ca="1">OFFSET(Данные!E$8,$G85,0)</f>
        <v>396</v>
      </c>
      <c r="L85" s="5">
        <f ca="1">OFFSET(Данные!F$8,$G85,0)</f>
        <v>0.56</v>
      </c>
      <c r="M85" s="27">
        <f ca="1">OFFSET(Данные!G$8,$G85,0)</f>
        <v>388</v>
      </c>
      <c r="N85" s="27">
        <f ca="1">OFFSET(Данные!H$8,$G85,0)</f>
        <v>369.97</v>
      </c>
      <c r="AR85" s="4">
        <f ca="1">OFFSET(Данные!C76,0,Расчеты!$D$14)</f>
        <v>1236</v>
      </c>
      <c r="AS85" s="4">
        <f ca="1">OFFSET(Данные!C76,0,Расчеты!$D$15)</f>
        <v>0.42</v>
      </c>
    </row>
    <row r="86" spans="2:45" ht="12.75">
      <c r="B86" s="4">
        <f>Данные!B77</f>
        <v>69</v>
      </c>
      <c r="C86" s="4" t="str">
        <f>Данные!C77</f>
        <v>Продукт 69</v>
      </c>
      <c r="D86" s="4">
        <f ca="1">OFFSET(Данные!$C77,0,критерий_сортировки)</f>
        <v>187</v>
      </c>
      <c r="E86" s="27">
        <f t="shared" si="20"/>
        <v>187.000069</v>
      </c>
      <c r="F86" s="28">
        <f t="shared" si="21"/>
        <v>431.000071</v>
      </c>
      <c r="G86" s="28">
        <f t="shared" si="22"/>
        <v>71</v>
      </c>
      <c r="I86" s="4" t="str">
        <f ca="1">OFFSET(Данные!C$8,$G86,0)</f>
        <v>Продукт 71</v>
      </c>
      <c r="J86" s="27">
        <f ca="1">OFFSET(Данные!D$8,$G86,0)</f>
        <v>431</v>
      </c>
      <c r="K86" s="27">
        <f ca="1">OFFSET(Данные!E$8,$G86,0)</f>
        <v>234</v>
      </c>
      <c r="L86" s="5">
        <f ca="1">OFFSET(Данные!F$8,$G86,0)</f>
        <v>0.59</v>
      </c>
      <c r="M86" s="27">
        <f ca="1">OFFSET(Данные!G$8,$G86,0)</f>
        <v>507</v>
      </c>
      <c r="N86" s="27">
        <f ca="1">OFFSET(Данные!H$8,$G86,0)</f>
        <v>3.23</v>
      </c>
      <c r="AR86" s="4">
        <f ca="1">OFFSET(Данные!C77,0,Расчеты!$D$14)</f>
        <v>187</v>
      </c>
      <c r="AS86" s="4">
        <f ca="1">OFFSET(Данные!C77,0,Расчеты!$D$15)</f>
        <v>0.98</v>
      </c>
    </row>
    <row r="87" spans="2:45" ht="12.75">
      <c r="B87" s="4">
        <f>Данные!B78</f>
        <v>70</v>
      </c>
      <c r="C87" s="4" t="str">
        <f>Данные!C78</f>
        <v>Продукт 70</v>
      </c>
      <c r="D87" s="4">
        <f ca="1">OFFSET(Данные!$C78,0,критерий_сортировки)</f>
        <v>357</v>
      </c>
      <c r="E87" s="27">
        <f t="shared" si="20"/>
        <v>357.00007</v>
      </c>
      <c r="F87" s="28">
        <f t="shared" si="21"/>
        <v>428.000079</v>
      </c>
      <c r="G87" s="28">
        <f t="shared" si="22"/>
        <v>79</v>
      </c>
      <c r="I87" s="4" t="str">
        <f ca="1">OFFSET(Данные!C$8,$G87,0)</f>
        <v>Продукт 79</v>
      </c>
      <c r="J87" s="27">
        <f ca="1">OFFSET(Данные!D$8,$G87,0)</f>
        <v>428</v>
      </c>
      <c r="K87" s="27">
        <f ca="1">OFFSET(Данные!E$8,$G87,0)</f>
        <v>124</v>
      </c>
      <c r="L87" s="5">
        <f ca="1">OFFSET(Данные!F$8,$G87,0)</f>
        <v>0.47</v>
      </c>
      <c r="M87" s="27">
        <f ca="1">OFFSET(Данные!G$8,$G87,0)</f>
        <v>351</v>
      </c>
      <c r="N87" s="27">
        <f ca="1">OFFSET(Данные!H$8,$G87,0)</f>
        <v>639.48</v>
      </c>
      <c r="AR87" s="4">
        <f ca="1">OFFSET(Данные!C78,0,Расчеты!$D$14)</f>
        <v>357</v>
      </c>
      <c r="AS87" s="4">
        <f ca="1">OFFSET(Данные!C78,0,Расчеты!$D$15)</f>
        <v>0.72</v>
      </c>
    </row>
    <row r="88" spans="2:45" ht="12.75">
      <c r="B88" s="4">
        <f>Данные!B79</f>
        <v>71</v>
      </c>
      <c r="C88" s="4" t="str">
        <f>Данные!C79</f>
        <v>Продукт 71</v>
      </c>
      <c r="D88" s="4">
        <f ca="1">OFFSET(Данные!$C79,0,критерий_сортировки)</f>
        <v>431</v>
      </c>
      <c r="E88" s="27">
        <f t="shared" si="20"/>
        <v>431.000071</v>
      </c>
      <c r="F88" s="28">
        <f t="shared" si="21"/>
        <v>419.000044</v>
      </c>
      <c r="G88" s="28">
        <f t="shared" si="22"/>
        <v>44</v>
      </c>
      <c r="I88" s="4" t="str">
        <f ca="1">OFFSET(Данные!C$8,$G88,0)</f>
        <v>Продукт 44</v>
      </c>
      <c r="J88" s="27">
        <f ca="1">OFFSET(Данные!D$8,$G88,0)</f>
        <v>419</v>
      </c>
      <c r="K88" s="27">
        <f ca="1">OFFSET(Данные!E$8,$G88,0)</f>
        <v>398</v>
      </c>
      <c r="L88" s="5">
        <f ca="1">OFFSET(Данные!F$8,$G88,0)</f>
        <v>0.51</v>
      </c>
      <c r="M88" s="27">
        <f ca="1">OFFSET(Данные!G$8,$G88,0)</f>
        <v>316</v>
      </c>
      <c r="N88" s="27">
        <f ca="1">OFFSET(Данные!H$8,$G88,0)</f>
        <v>153.76</v>
      </c>
      <c r="AR88" s="4">
        <f ca="1">OFFSET(Данные!C79,0,Расчеты!$D$14)</f>
        <v>431</v>
      </c>
      <c r="AS88" s="4">
        <f ca="1">OFFSET(Данные!C79,0,Расчеты!$D$15)</f>
        <v>0.59</v>
      </c>
    </row>
    <row r="89" spans="2:45" ht="12.75">
      <c r="B89" s="4">
        <f>Данные!B80</f>
        <v>72</v>
      </c>
      <c r="C89" s="4" t="str">
        <f>Данные!C80</f>
        <v>Продукт 72</v>
      </c>
      <c r="D89" s="4">
        <f ca="1">OFFSET(Данные!$C80,0,критерий_сортировки)</f>
        <v>793</v>
      </c>
      <c r="E89" s="27">
        <f t="shared" si="20"/>
        <v>793.000072</v>
      </c>
      <c r="F89" s="28">
        <f t="shared" si="21"/>
        <v>394.00005</v>
      </c>
      <c r="G89" s="28">
        <f t="shared" si="22"/>
        <v>50</v>
      </c>
      <c r="I89" s="4" t="str">
        <f ca="1">OFFSET(Данные!C$8,$G89,0)</f>
        <v>Продукт 50</v>
      </c>
      <c r="J89" s="27">
        <f ca="1">OFFSET(Данные!D$8,$G89,0)</f>
        <v>394</v>
      </c>
      <c r="K89" s="27">
        <f ca="1">OFFSET(Данные!E$8,$G89,0)</f>
        <v>405</v>
      </c>
      <c r="L89" s="5">
        <f ca="1">OFFSET(Данные!F$8,$G89,0)</f>
        <v>0.1</v>
      </c>
      <c r="M89" s="27">
        <f ca="1">OFFSET(Данные!G$8,$G89,0)</f>
        <v>587</v>
      </c>
      <c r="N89" s="27">
        <f ca="1">OFFSET(Данные!H$8,$G89,0)</f>
        <v>516.88</v>
      </c>
      <c r="AR89" s="4">
        <f ca="1">OFFSET(Данные!C80,0,Расчеты!$D$14)</f>
        <v>793</v>
      </c>
      <c r="AS89" s="4">
        <f ca="1">OFFSET(Данные!C80,0,Расчеты!$D$15)</f>
        <v>0.81</v>
      </c>
    </row>
    <row r="90" spans="2:45" ht="12.75">
      <c r="B90" s="4">
        <f>Данные!B81</f>
        <v>73</v>
      </c>
      <c r="C90" s="4" t="str">
        <f>Данные!C81</f>
        <v>Продукт 73</v>
      </c>
      <c r="D90" s="4">
        <f ca="1">OFFSET(Данные!$C81,0,критерий_сортировки)</f>
        <v>350</v>
      </c>
      <c r="E90" s="27">
        <f t="shared" si="20"/>
        <v>350.000073</v>
      </c>
      <c r="F90" s="28">
        <f t="shared" si="21"/>
        <v>389.000082</v>
      </c>
      <c r="G90" s="28">
        <f t="shared" si="22"/>
        <v>82</v>
      </c>
      <c r="I90" s="4" t="str">
        <f ca="1">OFFSET(Данные!C$8,$G90,0)</f>
        <v>Продукт 82</v>
      </c>
      <c r="J90" s="27">
        <f ca="1">OFFSET(Данные!D$8,$G90,0)</f>
        <v>389</v>
      </c>
      <c r="K90" s="27">
        <f ca="1">OFFSET(Данные!E$8,$G90,0)</f>
        <v>19</v>
      </c>
      <c r="L90" s="5">
        <f ca="1">OFFSET(Данные!F$8,$G90,0)</f>
        <v>0.37</v>
      </c>
      <c r="M90" s="27">
        <f ca="1">OFFSET(Данные!G$8,$G90,0)</f>
        <v>537</v>
      </c>
      <c r="N90" s="27">
        <f ca="1">OFFSET(Данные!H$8,$G90,0)</f>
        <v>620.14</v>
      </c>
      <c r="AR90" s="4">
        <f ca="1">OFFSET(Данные!C81,0,Расчеты!$D$14)</f>
        <v>350</v>
      </c>
      <c r="AS90" s="4">
        <f ca="1">OFFSET(Данные!C81,0,Расчеты!$D$15)</f>
        <v>0.17</v>
      </c>
    </row>
    <row r="91" spans="2:45" ht="12.75">
      <c r="B91" s="4">
        <f>Данные!B82</f>
        <v>74</v>
      </c>
      <c r="C91" s="4" t="str">
        <f>Данные!C82</f>
        <v>Продукт 74</v>
      </c>
      <c r="D91" s="4">
        <f ca="1">OFFSET(Данные!$C82,0,критерий_сортировки)</f>
        <v>781</v>
      </c>
      <c r="E91" s="27">
        <f t="shared" si="20"/>
        <v>781.000074</v>
      </c>
      <c r="F91" s="28">
        <f t="shared" si="21"/>
        <v>389.000049</v>
      </c>
      <c r="G91" s="28">
        <f t="shared" si="22"/>
        <v>49</v>
      </c>
      <c r="I91" s="4" t="str">
        <f ca="1">OFFSET(Данные!C$8,$G91,0)</f>
        <v>Продукт 49</v>
      </c>
      <c r="J91" s="27">
        <f ca="1">OFFSET(Данные!D$8,$G91,0)</f>
        <v>389</v>
      </c>
      <c r="K91" s="27">
        <f ca="1">OFFSET(Данные!E$8,$G91,0)</f>
        <v>257</v>
      </c>
      <c r="L91" s="5">
        <f ca="1">OFFSET(Данные!F$8,$G91,0)</f>
        <v>0.24</v>
      </c>
      <c r="M91" s="27">
        <f ca="1">OFFSET(Данные!G$8,$G91,0)</f>
        <v>437</v>
      </c>
      <c r="N91" s="27">
        <f ca="1">OFFSET(Данные!H$8,$G91,0)</f>
        <v>948.59</v>
      </c>
      <c r="AR91" s="4">
        <f ca="1">OFFSET(Данные!C82,0,Расчеты!$D$14)</f>
        <v>781</v>
      </c>
      <c r="AS91" s="4">
        <f ca="1">OFFSET(Данные!C82,0,Расчеты!$D$15)</f>
        <v>0.82</v>
      </c>
    </row>
    <row r="92" spans="2:45" ht="12.75">
      <c r="B92" s="4">
        <f>Данные!B83</f>
        <v>75</v>
      </c>
      <c r="C92" s="4" t="str">
        <f>Данные!C83</f>
        <v>Продукт 75</v>
      </c>
      <c r="D92" s="4">
        <f ca="1">OFFSET(Данные!$C83,0,критерий_сортировки)</f>
        <v>488</v>
      </c>
      <c r="E92" s="27">
        <f t="shared" si="20"/>
        <v>488.000075</v>
      </c>
      <c r="F92" s="28">
        <f t="shared" si="21"/>
        <v>386.00009</v>
      </c>
      <c r="G92" s="28">
        <f t="shared" si="22"/>
        <v>90</v>
      </c>
      <c r="I92" s="4" t="str">
        <f ca="1">OFFSET(Данные!C$8,$G92,0)</f>
        <v>Продукт 90</v>
      </c>
      <c r="J92" s="27">
        <f ca="1">OFFSET(Данные!D$8,$G92,0)</f>
        <v>386</v>
      </c>
      <c r="K92" s="27">
        <f ca="1">OFFSET(Данные!E$8,$G92,0)</f>
        <v>379</v>
      </c>
      <c r="L92" s="5">
        <f ca="1">OFFSET(Данные!F$8,$G92,0)</f>
        <v>0.21</v>
      </c>
      <c r="M92" s="27">
        <f ca="1">OFFSET(Данные!G$8,$G92,0)</f>
        <v>720</v>
      </c>
      <c r="N92" s="27">
        <f ca="1">OFFSET(Данные!H$8,$G92,0)</f>
        <v>22.38</v>
      </c>
      <c r="AR92" s="4">
        <f ca="1">OFFSET(Данные!C83,0,Расчеты!$D$14)</f>
        <v>488</v>
      </c>
      <c r="AS92" s="4">
        <f ca="1">OFFSET(Данные!C83,0,Расчеты!$D$15)</f>
        <v>0.02</v>
      </c>
    </row>
    <row r="93" spans="2:45" ht="12.75">
      <c r="B93" s="4">
        <f>Данные!B84</f>
        <v>76</v>
      </c>
      <c r="C93" s="4" t="str">
        <f>Данные!C84</f>
        <v>Продукт 76</v>
      </c>
      <c r="D93" s="4">
        <f ca="1">OFFSET(Данные!$C84,0,критерий_сортировки)</f>
        <v>496</v>
      </c>
      <c r="E93" s="27">
        <f t="shared" si="20"/>
        <v>496.000076</v>
      </c>
      <c r="F93" s="28">
        <f t="shared" si="21"/>
        <v>366.000004</v>
      </c>
      <c r="G93" s="28">
        <f t="shared" si="22"/>
        <v>4</v>
      </c>
      <c r="I93" s="4" t="str">
        <f ca="1">OFFSET(Данные!C$8,$G93,0)</f>
        <v>Продукт 4</v>
      </c>
      <c r="J93" s="27">
        <f ca="1">OFFSET(Данные!D$8,$G93,0)</f>
        <v>366</v>
      </c>
      <c r="K93" s="27">
        <f ca="1">OFFSET(Данные!E$8,$G93,0)</f>
        <v>388</v>
      </c>
      <c r="L93" s="5">
        <f ca="1">OFFSET(Данные!F$8,$G93,0)</f>
        <v>0.35</v>
      </c>
      <c r="M93" s="27">
        <f ca="1">OFFSET(Данные!G$8,$G93,0)</f>
        <v>578</v>
      </c>
      <c r="N93" s="27">
        <f ca="1">OFFSET(Данные!H$8,$G93,0)</f>
        <v>367.9</v>
      </c>
      <c r="AR93" s="4">
        <f ca="1">OFFSET(Данные!C84,0,Расчеты!$D$14)</f>
        <v>496</v>
      </c>
      <c r="AS93" s="4">
        <f ca="1">OFFSET(Данные!C84,0,Расчеты!$D$15)</f>
        <v>0.83</v>
      </c>
    </row>
    <row r="94" spans="2:45" ht="12.75">
      <c r="B94" s="4">
        <f>Данные!B85</f>
        <v>77</v>
      </c>
      <c r="C94" s="4" t="str">
        <f>Данные!C85</f>
        <v>Продукт 77</v>
      </c>
      <c r="D94" s="4">
        <f ca="1">OFFSET(Данные!$C85,0,критерий_сортировки)</f>
        <v>576</v>
      </c>
      <c r="E94" s="27">
        <f t="shared" si="20"/>
        <v>576.000077</v>
      </c>
      <c r="F94" s="28">
        <f t="shared" si="21"/>
        <v>359.000037</v>
      </c>
      <c r="G94" s="28">
        <f t="shared" si="22"/>
        <v>37</v>
      </c>
      <c r="I94" s="4" t="str">
        <f ca="1">OFFSET(Данные!C$8,$G94,0)</f>
        <v>Продукт 37</v>
      </c>
      <c r="J94" s="27">
        <f ca="1">OFFSET(Данные!D$8,$G94,0)</f>
        <v>359</v>
      </c>
      <c r="K94" s="27">
        <f ca="1">OFFSET(Данные!E$8,$G94,0)</f>
        <v>269</v>
      </c>
      <c r="L94" s="5">
        <f ca="1">OFFSET(Данные!F$8,$G94,0)</f>
        <v>0.7</v>
      </c>
      <c r="M94" s="27">
        <f ca="1">OFFSET(Данные!G$8,$G94,0)</f>
        <v>571</v>
      </c>
      <c r="N94" s="27">
        <f ca="1">OFFSET(Данные!H$8,$G94,0)</f>
        <v>93.66</v>
      </c>
      <c r="AR94" s="4">
        <f ca="1">OFFSET(Данные!C85,0,Расчеты!$D$14)</f>
        <v>576</v>
      </c>
      <c r="AS94" s="4">
        <f ca="1">OFFSET(Данные!C85,0,Расчеты!$D$15)</f>
        <v>0.37</v>
      </c>
    </row>
    <row r="95" spans="2:45" ht="12.75">
      <c r="B95" s="4">
        <f>Данные!B86</f>
        <v>78</v>
      </c>
      <c r="C95" s="4" t="str">
        <f>Данные!C86</f>
        <v>Продукт 78</v>
      </c>
      <c r="D95" s="4">
        <f ca="1">OFFSET(Данные!$C86,0,критерий_сортировки)</f>
        <v>1053</v>
      </c>
      <c r="E95" s="27">
        <f t="shared" si="20"/>
        <v>1053.000078</v>
      </c>
      <c r="F95" s="28">
        <f t="shared" si="21"/>
        <v>357.00007</v>
      </c>
      <c r="G95" s="28">
        <f t="shared" si="22"/>
        <v>70</v>
      </c>
      <c r="I95" s="4" t="str">
        <f ca="1">OFFSET(Данные!C$8,$G95,0)</f>
        <v>Продукт 70</v>
      </c>
      <c r="J95" s="27">
        <f ca="1">OFFSET(Данные!D$8,$G95,0)</f>
        <v>357</v>
      </c>
      <c r="K95" s="27">
        <f ca="1">OFFSET(Данные!E$8,$G95,0)</f>
        <v>345</v>
      </c>
      <c r="L95" s="5">
        <f ca="1">OFFSET(Данные!F$8,$G95,0)</f>
        <v>0.72</v>
      </c>
      <c r="M95" s="27">
        <f ca="1">OFFSET(Данные!G$8,$G95,0)</f>
        <v>641</v>
      </c>
      <c r="N95" s="27">
        <f ca="1">OFFSET(Данные!H$8,$G95,0)</f>
        <v>449</v>
      </c>
      <c r="AR95" s="4">
        <f ca="1">OFFSET(Данные!C86,0,Расчеты!$D$14)</f>
        <v>1053</v>
      </c>
      <c r="AS95" s="4">
        <f ca="1">OFFSET(Данные!C86,0,Расчеты!$D$15)</f>
        <v>0.02</v>
      </c>
    </row>
    <row r="96" spans="2:45" ht="12.75">
      <c r="B96" s="4">
        <f>Данные!B87</f>
        <v>79</v>
      </c>
      <c r="C96" s="4" t="str">
        <f>Данные!C87</f>
        <v>Продукт 79</v>
      </c>
      <c r="D96" s="4">
        <f ca="1">OFFSET(Данные!$C87,0,критерий_сортировки)</f>
        <v>428</v>
      </c>
      <c r="E96" s="27">
        <f t="shared" si="20"/>
        <v>428.000079</v>
      </c>
      <c r="F96" s="28">
        <f t="shared" si="21"/>
        <v>350.000073</v>
      </c>
      <c r="G96" s="28">
        <f t="shared" si="22"/>
        <v>73</v>
      </c>
      <c r="I96" s="4" t="str">
        <f ca="1">OFFSET(Данные!C$8,$G96,0)</f>
        <v>Продукт 73</v>
      </c>
      <c r="J96" s="27">
        <f ca="1">OFFSET(Данные!D$8,$G96,0)</f>
        <v>350</v>
      </c>
      <c r="K96" s="27">
        <f ca="1">OFFSET(Данные!E$8,$G96,0)</f>
        <v>53</v>
      </c>
      <c r="L96" s="5">
        <f ca="1">OFFSET(Данные!F$8,$G96,0)</f>
        <v>0.17</v>
      </c>
      <c r="M96" s="27">
        <f ca="1">OFFSET(Данные!G$8,$G96,0)</f>
        <v>720</v>
      </c>
      <c r="N96" s="27">
        <f ca="1">OFFSET(Данные!H$8,$G96,0)</f>
        <v>646.45</v>
      </c>
      <c r="AR96" s="4">
        <f ca="1">OFFSET(Данные!C87,0,Расчеты!$D$14)</f>
        <v>428</v>
      </c>
      <c r="AS96" s="4">
        <f ca="1">OFFSET(Данные!C87,0,Расчеты!$D$15)</f>
        <v>0.47</v>
      </c>
    </row>
    <row r="97" spans="2:45" ht="12.75">
      <c r="B97" s="4">
        <f>Данные!B88</f>
        <v>80</v>
      </c>
      <c r="C97" s="4" t="str">
        <f>Данные!C88</f>
        <v>Продукт 80</v>
      </c>
      <c r="D97" s="4">
        <f ca="1">OFFSET(Данные!$C88,0,критерий_сортировки)</f>
        <v>447</v>
      </c>
      <c r="E97" s="27">
        <f t="shared" si="20"/>
        <v>447.00008</v>
      </c>
      <c r="F97" s="28">
        <f t="shared" si="21"/>
        <v>305.000052</v>
      </c>
      <c r="G97" s="28">
        <f t="shared" si="22"/>
        <v>52</v>
      </c>
      <c r="I97" s="4" t="str">
        <f ca="1">OFFSET(Данные!C$8,$G97,0)</f>
        <v>Продукт 52</v>
      </c>
      <c r="J97" s="27">
        <f ca="1">OFFSET(Данные!D$8,$G97,0)</f>
        <v>305</v>
      </c>
      <c r="K97" s="27">
        <f ca="1">OFFSET(Данные!E$8,$G97,0)</f>
        <v>277</v>
      </c>
      <c r="L97" s="5">
        <f ca="1">OFFSET(Данные!F$8,$G97,0)</f>
        <v>0.22</v>
      </c>
      <c r="M97" s="27">
        <f ca="1">OFFSET(Данные!G$8,$G97,0)</f>
        <v>597</v>
      </c>
      <c r="N97" s="27">
        <f ca="1">OFFSET(Данные!H$8,$G97,0)</f>
        <v>136.75</v>
      </c>
      <c r="AR97" s="4">
        <f ca="1">OFFSET(Данные!C88,0,Расчеты!$D$14)</f>
        <v>447</v>
      </c>
      <c r="AS97" s="4">
        <f ca="1">OFFSET(Данные!C88,0,Расчеты!$D$15)</f>
        <v>0.72</v>
      </c>
    </row>
    <row r="98" spans="2:45" ht="12.75">
      <c r="B98" s="4">
        <f>Данные!B89</f>
        <v>81</v>
      </c>
      <c r="C98" s="4" t="str">
        <f>Данные!C89</f>
        <v>Продукт 81</v>
      </c>
      <c r="D98" s="4">
        <f ca="1">OFFSET(Данные!$C89,0,критерий_сортировки)</f>
        <v>1059</v>
      </c>
      <c r="E98" s="27">
        <f t="shared" si="20"/>
        <v>1059.000081</v>
      </c>
      <c r="F98" s="28">
        <f t="shared" si="21"/>
        <v>297.00004</v>
      </c>
      <c r="G98" s="28">
        <f t="shared" si="22"/>
        <v>40</v>
      </c>
      <c r="I98" s="4" t="str">
        <f ca="1">OFFSET(Данные!C$8,$G98,0)</f>
        <v>Продукт 40</v>
      </c>
      <c r="J98" s="27">
        <f ca="1">OFFSET(Данные!D$8,$G98,0)</f>
        <v>297</v>
      </c>
      <c r="K98" s="27">
        <f ca="1">OFFSET(Данные!E$8,$G98,0)</f>
        <v>65</v>
      </c>
      <c r="L98" s="5">
        <f ca="1">OFFSET(Данные!F$8,$G98,0)</f>
        <v>0.44</v>
      </c>
      <c r="M98" s="27">
        <f ca="1">OFFSET(Данные!G$8,$G98,0)</f>
        <v>334</v>
      </c>
      <c r="N98" s="27">
        <f ca="1">OFFSET(Данные!H$8,$G98,0)</f>
        <v>53.51</v>
      </c>
      <c r="AR98" s="4">
        <f ca="1">OFFSET(Данные!C89,0,Расчеты!$D$14)</f>
        <v>1059</v>
      </c>
      <c r="AS98" s="4">
        <f ca="1">OFFSET(Данные!C89,0,Расчеты!$D$15)</f>
        <v>0.68</v>
      </c>
    </row>
    <row r="99" spans="2:45" ht="12.75">
      <c r="B99" s="4">
        <f>Данные!B90</f>
        <v>82</v>
      </c>
      <c r="C99" s="4" t="str">
        <f>Данные!C90</f>
        <v>Продукт 82</v>
      </c>
      <c r="D99" s="4">
        <f ca="1">OFFSET(Данные!$C90,0,критерий_сортировки)</f>
        <v>389</v>
      </c>
      <c r="E99" s="27">
        <f t="shared" si="20"/>
        <v>389.000082</v>
      </c>
      <c r="F99" s="28">
        <f t="shared" si="21"/>
        <v>295.000054</v>
      </c>
      <c r="G99" s="28">
        <f t="shared" si="22"/>
        <v>54</v>
      </c>
      <c r="I99" s="4" t="str">
        <f ca="1">OFFSET(Данные!C$8,$G99,0)</f>
        <v>Продукт 54</v>
      </c>
      <c r="J99" s="27">
        <f ca="1">OFFSET(Данные!D$8,$G99,0)</f>
        <v>295</v>
      </c>
      <c r="K99" s="27">
        <f ca="1">OFFSET(Данные!E$8,$G99,0)</f>
        <v>338</v>
      </c>
      <c r="L99" s="5">
        <f ca="1">OFFSET(Данные!F$8,$G99,0)</f>
        <v>0.91</v>
      </c>
      <c r="M99" s="27">
        <f ca="1">OFFSET(Данные!G$8,$G99,0)</f>
        <v>585</v>
      </c>
      <c r="N99" s="27">
        <f ca="1">OFFSET(Данные!H$8,$G99,0)</f>
        <v>960.61</v>
      </c>
      <c r="AR99" s="4">
        <f ca="1">OFFSET(Данные!C90,0,Расчеты!$D$14)</f>
        <v>389</v>
      </c>
      <c r="AS99" s="4">
        <f ca="1">OFFSET(Данные!C90,0,Расчеты!$D$15)</f>
        <v>0.37</v>
      </c>
    </row>
    <row r="100" spans="2:45" ht="12.75">
      <c r="B100" s="4">
        <f>Данные!B91</f>
        <v>83</v>
      </c>
      <c r="C100" s="4" t="str">
        <f>Данные!C91</f>
        <v>Продукт 83</v>
      </c>
      <c r="D100" s="4">
        <f ca="1">OFFSET(Данные!$C91,0,критерий_сортировки)</f>
        <v>913</v>
      </c>
      <c r="E100" s="27">
        <f t="shared" si="20"/>
        <v>913.000083</v>
      </c>
      <c r="F100" s="28">
        <f t="shared" si="21"/>
        <v>284.000058</v>
      </c>
      <c r="G100" s="28">
        <f t="shared" si="22"/>
        <v>58</v>
      </c>
      <c r="I100" s="4" t="str">
        <f ca="1">OFFSET(Данные!C$8,$G100,0)</f>
        <v>Продукт 58</v>
      </c>
      <c r="J100" s="27">
        <f ca="1">OFFSET(Данные!D$8,$G100,0)</f>
        <v>284</v>
      </c>
      <c r="K100" s="27">
        <f ca="1">OFFSET(Данные!E$8,$G100,0)</f>
        <v>286</v>
      </c>
      <c r="L100" s="5">
        <f ca="1">OFFSET(Данные!F$8,$G100,0)</f>
        <v>0.62</v>
      </c>
      <c r="M100" s="27">
        <f ca="1">OFFSET(Данные!G$8,$G100,0)</f>
        <v>668</v>
      </c>
      <c r="N100" s="27">
        <f ca="1">OFFSET(Данные!H$8,$G100,0)</f>
        <v>574.32</v>
      </c>
      <c r="AR100" s="4">
        <f ca="1">OFFSET(Данные!C91,0,Расчеты!$D$14)</f>
        <v>913</v>
      </c>
      <c r="AS100" s="4">
        <f ca="1">OFFSET(Данные!C91,0,Расчеты!$D$15)</f>
        <v>0.12</v>
      </c>
    </row>
    <row r="101" spans="2:45" ht="12.75">
      <c r="B101" s="4">
        <f>Данные!B92</f>
        <v>84</v>
      </c>
      <c r="C101" s="4" t="str">
        <f>Данные!C92</f>
        <v>Продукт 84</v>
      </c>
      <c r="D101" s="4">
        <f ca="1">OFFSET(Данные!$C92,0,критерий_сортировки)</f>
        <v>1136</v>
      </c>
      <c r="E101" s="27">
        <f t="shared" si="20"/>
        <v>1136.000084</v>
      </c>
      <c r="F101" s="28">
        <f t="shared" si="21"/>
        <v>284.000001</v>
      </c>
      <c r="G101" s="28">
        <f t="shared" si="22"/>
        <v>1</v>
      </c>
      <c r="I101" s="4" t="str">
        <f ca="1">OFFSET(Данные!C$8,$G101,0)</f>
        <v>Продукт 1</v>
      </c>
      <c r="J101" s="27">
        <f ca="1">OFFSET(Данные!D$8,$G101,0)</f>
        <v>284</v>
      </c>
      <c r="K101" s="27">
        <f ca="1">OFFSET(Данные!E$8,$G101,0)</f>
        <v>267</v>
      </c>
      <c r="L101" s="5">
        <f ca="1">OFFSET(Данные!F$8,$G101,0)</f>
        <v>0.28</v>
      </c>
      <c r="M101" s="27">
        <f ca="1">OFFSET(Данные!G$8,$G101,0)</f>
        <v>318</v>
      </c>
      <c r="N101" s="27">
        <f ca="1">OFFSET(Данные!H$8,$G101,0)</f>
        <v>348.83</v>
      </c>
      <c r="AR101" s="4">
        <f ca="1">OFFSET(Данные!C92,0,Расчеты!$D$14)</f>
        <v>1136</v>
      </c>
      <c r="AS101" s="4">
        <f ca="1">OFFSET(Данные!C92,0,Расчеты!$D$15)</f>
        <v>0.6</v>
      </c>
    </row>
    <row r="102" spans="2:45" ht="12.75">
      <c r="B102" s="4">
        <f>Данные!B93</f>
        <v>85</v>
      </c>
      <c r="C102" s="4" t="str">
        <f>Данные!C93</f>
        <v>Продукт 85</v>
      </c>
      <c r="D102" s="4">
        <f ca="1">OFFSET(Данные!$C93,0,критерий_сортировки)</f>
        <v>1135</v>
      </c>
      <c r="E102" s="27">
        <f t="shared" si="20"/>
        <v>1135.000085</v>
      </c>
      <c r="F102" s="28">
        <f t="shared" si="21"/>
        <v>266.000062</v>
      </c>
      <c r="G102" s="28">
        <f t="shared" si="22"/>
        <v>62</v>
      </c>
      <c r="I102" s="4" t="str">
        <f ca="1">OFFSET(Данные!C$8,$G102,0)</f>
        <v>Продукт 62</v>
      </c>
      <c r="J102" s="27">
        <f ca="1">OFFSET(Данные!D$8,$G102,0)</f>
        <v>266</v>
      </c>
      <c r="K102" s="27">
        <f ca="1">OFFSET(Данные!E$8,$G102,0)</f>
        <v>18</v>
      </c>
      <c r="L102" s="5">
        <f ca="1">OFFSET(Данные!F$8,$G102,0)</f>
        <v>0.54</v>
      </c>
      <c r="M102" s="27">
        <f ca="1">OFFSET(Данные!G$8,$G102,0)</f>
        <v>703</v>
      </c>
      <c r="N102" s="27">
        <f ca="1">OFFSET(Данные!H$8,$G102,0)</f>
        <v>973.22</v>
      </c>
      <c r="AR102" s="4">
        <f ca="1">OFFSET(Данные!C93,0,Расчеты!$D$14)</f>
        <v>1135</v>
      </c>
      <c r="AS102" s="4">
        <f ca="1">OFFSET(Данные!C93,0,Расчеты!$D$15)</f>
        <v>0.81</v>
      </c>
    </row>
    <row r="103" spans="2:45" ht="12.75">
      <c r="B103" s="4">
        <f>Данные!B94</f>
        <v>86</v>
      </c>
      <c r="C103" s="4" t="str">
        <f>Данные!C94</f>
        <v>Продукт 86</v>
      </c>
      <c r="D103" s="4">
        <f ca="1">OFFSET(Данные!$C94,0,критерий_сортировки)</f>
        <v>232</v>
      </c>
      <c r="E103" s="27">
        <f t="shared" si="20"/>
        <v>232.000086</v>
      </c>
      <c r="F103" s="28">
        <f t="shared" si="21"/>
        <v>259.000064</v>
      </c>
      <c r="G103" s="28">
        <f t="shared" si="22"/>
        <v>64</v>
      </c>
      <c r="I103" s="4" t="str">
        <f ca="1">OFFSET(Данные!C$8,$G103,0)</f>
        <v>Продукт 64</v>
      </c>
      <c r="J103" s="27">
        <f ca="1">OFFSET(Данные!D$8,$G103,0)</f>
        <v>259</v>
      </c>
      <c r="K103" s="27">
        <f ca="1">OFFSET(Данные!E$8,$G103,0)</f>
        <v>42</v>
      </c>
      <c r="L103" s="5">
        <f ca="1">OFFSET(Данные!F$8,$G103,0)</f>
        <v>0.28</v>
      </c>
      <c r="M103" s="27">
        <f ca="1">OFFSET(Данные!G$8,$G103,0)</f>
        <v>263</v>
      </c>
      <c r="N103" s="27">
        <f ca="1">OFFSET(Данные!H$8,$G103,0)</f>
        <v>728.32</v>
      </c>
      <c r="AR103" s="4">
        <f ca="1">OFFSET(Данные!C94,0,Расчеты!$D$14)</f>
        <v>232</v>
      </c>
      <c r="AS103" s="4">
        <f ca="1">OFFSET(Данные!C94,0,Расчеты!$D$15)</f>
        <v>0.71</v>
      </c>
    </row>
    <row r="104" spans="2:45" ht="12.75">
      <c r="B104" s="4">
        <f>Данные!B95</f>
        <v>87</v>
      </c>
      <c r="C104" s="4" t="str">
        <f>Данные!C95</f>
        <v>Продукт 87</v>
      </c>
      <c r="D104" s="4">
        <f ca="1">OFFSET(Данные!$C95,0,критерий_сортировки)</f>
        <v>1319</v>
      </c>
      <c r="E104" s="27">
        <f t="shared" si="20"/>
        <v>1319.000087</v>
      </c>
      <c r="F104" s="28">
        <f t="shared" si="21"/>
        <v>255.000034</v>
      </c>
      <c r="G104" s="28">
        <f t="shared" si="22"/>
        <v>34</v>
      </c>
      <c r="I104" s="4" t="str">
        <f ca="1">OFFSET(Данные!C$8,$G104,0)</f>
        <v>Продукт 34</v>
      </c>
      <c r="J104" s="27">
        <f ca="1">OFFSET(Данные!D$8,$G104,0)</f>
        <v>255</v>
      </c>
      <c r="K104" s="27">
        <f ca="1">OFFSET(Данные!E$8,$G104,0)</f>
        <v>128</v>
      </c>
      <c r="L104" s="5">
        <f ca="1">OFFSET(Данные!F$8,$G104,0)</f>
        <v>0.87</v>
      </c>
      <c r="M104" s="27">
        <f ca="1">OFFSET(Данные!G$8,$G104,0)</f>
        <v>644</v>
      </c>
      <c r="N104" s="27">
        <f ca="1">OFFSET(Данные!H$8,$G104,0)</f>
        <v>191.33</v>
      </c>
      <c r="AR104" s="4">
        <f ca="1">OFFSET(Данные!C95,0,Расчеты!$D$14)</f>
        <v>1319</v>
      </c>
      <c r="AS104" s="4">
        <f ca="1">OFFSET(Данные!C95,0,Расчеты!$D$15)</f>
        <v>0.79</v>
      </c>
    </row>
    <row r="105" spans="2:45" ht="12.75">
      <c r="B105" s="4">
        <f>Данные!B96</f>
        <v>88</v>
      </c>
      <c r="C105" s="4" t="str">
        <f>Данные!C96</f>
        <v>Продукт 88</v>
      </c>
      <c r="D105" s="4">
        <f ca="1">OFFSET(Данные!$C96,0,критерий_сортировки)</f>
        <v>465</v>
      </c>
      <c r="E105" s="27">
        <f t="shared" si="20"/>
        <v>465.000088</v>
      </c>
      <c r="F105" s="28">
        <f t="shared" si="21"/>
        <v>253.000035</v>
      </c>
      <c r="G105" s="28">
        <f t="shared" si="22"/>
        <v>35</v>
      </c>
      <c r="I105" s="4" t="str">
        <f ca="1">OFFSET(Данные!C$8,$G105,0)</f>
        <v>Продукт 35</v>
      </c>
      <c r="J105" s="27">
        <f ca="1">OFFSET(Данные!D$8,$G105,0)</f>
        <v>253</v>
      </c>
      <c r="K105" s="27">
        <f ca="1">OFFSET(Данные!E$8,$G105,0)</f>
        <v>266</v>
      </c>
      <c r="L105" s="5">
        <f ca="1">OFFSET(Данные!F$8,$G105,0)</f>
        <v>0.19</v>
      </c>
      <c r="M105" s="27">
        <f ca="1">OFFSET(Данные!G$8,$G105,0)</f>
        <v>706</v>
      </c>
      <c r="N105" s="27">
        <f ca="1">OFFSET(Данные!H$8,$G105,0)</f>
        <v>982.91</v>
      </c>
      <c r="AR105" s="4">
        <f ca="1">OFFSET(Данные!C96,0,Расчеты!$D$14)</f>
        <v>465</v>
      </c>
      <c r="AS105" s="4">
        <f ca="1">OFFSET(Данные!C96,0,Расчеты!$D$15)</f>
        <v>0.85</v>
      </c>
    </row>
    <row r="106" spans="2:45" ht="12.75">
      <c r="B106" s="4">
        <f>Данные!B97</f>
        <v>89</v>
      </c>
      <c r="C106" s="4" t="str">
        <f>Данные!C97</f>
        <v>Продукт 89</v>
      </c>
      <c r="D106" s="4">
        <f ca="1">OFFSET(Данные!$C97,0,критерий_сортировки)</f>
        <v>1100</v>
      </c>
      <c r="E106" s="27">
        <f t="shared" si="20"/>
        <v>1100.000089</v>
      </c>
      <c r="F106" s="28">
        <f t="shared" si="21"/>
        <v>252.00003</v>
      </c>
      <c r="G106" s="28">
        <f t="shared" si="22"/>
        <v>30</v>
      </c>
      <c r="I106" s="4" t="str">
        <f ca="1">OFFSET(Данные!C$8,$G106,0)</f>
        <v>Продукт 30</v>
      </c>
      <c r="J106" s="27">
        <f ca="1">OFFSET(Данные!D$8,$G106,0)</f>
        <v>252</v>
      </c>
      <c r="K106" s="27">
        <f ca="1">OFFSET(Данные!E$8,$G106,0)</f>
        <v>439</v>
      </c>
      <c r="L106" s="5">
        <f ca="1">OFFSET(Данные!F$8,$G106,0)</f>
        <v>0.07</v>
      </c>
      <c r="M106" s="27">
        <f ca="1">OFFSET(Данные!G$8,$G106,0)</f>
        <v>289</v>
      </c>
      <c r="N106" s="27">
        <f ca="1">OFFSET(Данные!H$8,$G106,0)</f>
        <v>0.33</v>
      </c>
      <c r="AR106" s="4">
        <f ca="1">OFFSET(Данные!C97,0,Расчеты!$D$14)</f>
        <v>1100</v>
      </c>
      <c r="AS106" s="4">
        <f ca="1">OFFSET(Данные!C97,0,Расчеты!$D$15)</f>
        <v>0.75</v>
      </c>
    </row>
    <row r="107" spans="2:45" ht="12.75">
      <c r="B107" s="4">
        <f>Данные!B98</f>
        <v>90</v>
      </c>
      <c r="C107" s="4" t="str">
        <f>Данные!C98</f>
        <v>Продукт 90</v>
      </c>
      <c r="D107" s="4">
        <f ca="1">OFFSET(Данные!$C98,0,критерий_сортировки)</f>
        <v>386</v>
      </c>
      <c r="E107" s="27">
        <f t="shared" si="20"/>
        <v>386.00009</v>
      </c>
      <c r="F107" s="28">
        <f t="shared" si="21"/>
        <v>232.000086</v>
      </c>
      <c r="G107" s="28">
        <f t="shared" si="22"/>
        <v>86</v>
      </c>
      <c r="I107" s="4" t="str">
        <f ca="1">OFFSET(Данные!C$8,$G107,0)</f>
        <v>Продукт 86</v>
      </c>
      <c r="J107" s="27">
        <f ca="1">OFFSET(Данные!D$8,$G107,0)</f>
        <v>232</v>
      </c>
      <c r="K107" s="27">
        <f ca="1">OFFSET(Данные!E$8,$G107,0)</f>
        <v>430</v>
      </c>
      <c r="L107" s="5">
        <f ca="1">OFFSET(Данные!F$8,$G107,0)</f>
        <v>0.71</v>
      </c>
      <c r="M107" s="27">
        <f ca="1">OFFSET(Данные!G$8,$G107,0)</f>
        <v>256</v>
      </c>
      <c r="N107" s="27">
        <f ca="1">OFFSET(Данные!H$8,$G107,0)</f>
        <v>275.58</v>
      </c>
      <c r="AR107" s="4">
        <f ca="1">OFFSET(Данные!C98,0,Расчеты!$D$14)</f>
        <v>386</v>
      </c>
      <c r="AS107" s="4">
        <f ca="1">OFFSET(Данные!C98,0,Расчеты!$D$15)</f>
        <v>0.21</v>
      </c>
    </row>
    <row r="108" spans="2:45" ht="12.75">
      <c r="B108" s="4">
        <f>Данные!B99</f>
        <v>91</v>
      </c>
      <c r="C108" s="4" t="str">
        <f>Данные!C99</f>
        <v>Продукт 91</v>
      </c>
      <c r="D108" s="4">
        <f ca="1">OFFSET(Данные!$C99,0,критерий_сортировки)</f>
        <v>1337</v>
      </c>
      <c r="E108" s="27">
        <f t="shared" si="20"/>
        <v>1337.000091</v>
      </c>
      <c r="F108" s="28">
        <f t="shared" si="21"/>
        <v>187.000069</v>
      </c>
      <c r="G108" s="28">
        <f t="shared" si="22"/>
        <v>69</v>
      </c>
      <c r="I108" s="4" t="str">
        <f ca="1">OFFSET(Данные!C$8,$G108,0)</f>
        <v>Продукт 69</v>
      </c>
      <c r="J108" s="27">
        <f ca="1">OFFSET(Данные!D$8,$G108,0)</f>
        <v>187</v>
      </c>
      <c r="K108" s="27">
        <f ca="1">OFFSET(Данные!E$8,$G108,0)</f>
        <v>392</v>
      </c>
      <c r="L108" s="5">
        <f ca="1">OFFSET(Данные!F$8,$G108,0)</f>
        <v>0.98</v>
      </c>
      <c r="M108" s="27">
        <f ca="1">OFFSET(Данные!G$8,$G108,0)</f>
        <v>655</v>
      </c>
      <c r="N108" s="27">
        <f ca="1">OFFSET(Данные!H$8,$G108,0)</f>
        <v>609.45</v>
      </c>
      <c r="AR108" s="4">
        <f ca="1">OFFSET(Данные!C99,0,Расчеты!$D$14)</f>
        <v>1337</v>
      </c>
      <c r="AS108" s="4">
        <f ca="1">OFFSET(Данные!C99,0,Расчеты!$D$15)</f>
        <v>0.24</v>
      </c>
    </row>
    <row r="109" spans="2:45" ht="12.75">
      <c r="B109" s="4">
        <f>Данные!B100</f>
        <v>92</v>
      </c>
      <c r="C109" s="4" t="str">
        <f>Данные!C100</f>
        <v>Продукт 92</v>
      </c>
      <c r="D109" s="4">
        <f ca="1">OFFSET(Данные!$C100,0,критерий_сортировки)</f>
        <v>130</v>
      </c>
      <c r="E109" s="27">
        <f t="shared" si="20"/>
        <v>130.000092</v>
      </c>
      <c r="F109" s="28">
        <f t="shared" si="21"/>
        <v>180.000043</v>
      </c>
      <c r="G109" s="28">
        <f t="shared" si="22"/>
        <v>43</v>
      </c>
      <c r="I109" s="4" t="str">
        <f ca="1">OFFSET(Данные!C$8,$G109,0)</f>
        <v>Продукт 43</v>
      </c>
      <c r="J109" s="27">
        <f ca="1">OFFSET(Данные!D$8,$G109,0)</f>
        <v>180</v>
      </c>
      <c r="K109" s="27">
        <f ca="1">OFFSET(Данные!E$8,$G109,0)</f>
        <v>478</v>
      </c>
      <c r="L109" s="5">
        <f ca="1">OFFSET(Данные!F$8,$G109,0)</f>
        <v>0.67</v>
      </c>
      <c r="M109" s="27">
        <f ca="1">OFFSET(Данные!G$8,$G109,0)</f>
        <v>639</v>
      </c>
      <c r="N109" s="27">
        <f ca="1">OFFSET(Данные!H$8,$G109,0)</f>
        <v>514.29</v>
      </c>
      <c r="AR109" s="4">
        <f ca="1">OFFSET(Данные!C100,0,Расчеты!$D$14)</f>
        <v>130</v>
      </c>
      <c r="AS109" s="4">
        <f ca="1">OFFSET(Данные!C100,0,Расчеты!$D$15)</f>
        <v>0.08</v>
      </c>
    </row>
    <row r="110" spans="2:45" ht="12.75">
      <c r="B110" s="4">
        <f>Данные!B101</f>
        <v>93</v>
      </c>
      <c r="C110" s="4" t="str">
        <f>Данные!C101</f>
        <v>Продукт 93</v>
      </c>
      <c r="D110" s="4">
        <f ca="1">OFFSET(Данные!$C101,0,критерий_сортировки)</f>
        <v>680</v>
      </c>
      <c r="E110" s="27">
        <f t="shared" si="20"/>
        <v>680.000093</v>
      </c>
      <c r="F110" s="28">
        <f t="shared" si="21"/>
        <v>175.00006</v>
      </c>
      <c r="G110" s="28">
        <f t="shared" si="22"/>
        <v>60</v>
      </c>
      <c r="I110" s="4" t="str">
        <f ca="1">OFFSET(Данные!C$8,$G110,0)</f>
        <v>Продукт 60</v>
      </c>
      <c r="J110" s="27">
        <f ca="1">OFFSET(Данные!D$8,$G110,0)</f>
        <v>175</v>
      </c>
      <c r="K110" s="27">
        <f ca="1">OFFSET(Данные!E$8,$G110,0)</f>
        <v>293</v>
      </c>
      <c r="L110" s="5">
        <f ca="1">OFFSET(Данные!F$8,$G110,0)</f>
        <v>0.67</v>
      </c>
      <c r="M110" s="27">
        <f ca="1">OFFSET(Данные!G$8,$G110,0)</f>
        <v>704</v>
      </c>
      <c r="N110" s="27">
        <f ca="1">OFFSET(Данные!H$8,$G110,0)</f>
        <v>147.34</v>
      </c>
      <c r="AR110" s="4">
        <f ca="1">OFFSET(Данные!C101,0,Расчеты!$D$14)</f>
        <v>680</v>
      </c>
      <c r="AS110" s="4">
        <f ca="1">OFFSET(Данные!C101,0,Расчеты!$D$15)</f>
        <v>0.03</v>
      </c>
    </row>
    <row r="111" spans="2:45" ht="12.75">
      <c r="B111" s="4">
        <f>Данные!B102</f>
        <v>94</v>
      </c>
      <c r="C111" s="4" t="str">
        <f>Данные!C102</f>
        <v>Продукт 94</v>
      </c>
      <c r="D111" s="4">
        <f ca="1">OFFSET(Данные!$C102,0,критерий_сортировки)</f>
        <v>1355</v>
      </c>
      <c r="E111" s="27">
        <f t="shared" si="20"/>
        <v>1355.000094</v>
      </c>
      <c r="F111" s="28">
        <f t="shared" si="21"/>
        <v>170.000002</v>
      </c>
      <c r="G111" s="28">
        <f t="shared" si="22"/>
        <v>2</v>
      </c>
      <c r="I111" s="4" t="str">
        <f ca="1">OFFSET(Данные!C$8,$G111,0)</f>
        <v>Продукт 2</v>
      </c>
      <c r="J111" s="27">
        <f ca="1">OFFSET(Данные!D$8,$G111,0)</f>
        <v>170</v>
      </c>
      <c r="K111" s="27">
        <f ca="1">OFFSET(Данные!E$8,$G111,0)</f>
        <v>218</v>
      </c>
      <c r="L111" s="5">
        <f ca="1">OFFSET(Данные!F$8,$G111,0)</f>
        <v>0.86</v>
      </c>
      <c r="M111" s="27">
        <f ca="1">OFFSET(Данные!G$8,$G111,0)</f>
        <v>295</v>
      </c>
      <c r="N111" s="27">
        <f ca="1">OFFSET(Данные!H$8,$G111,0)</f>
        <v>734.27</v>
      </c>
      <c r="AR111" s="4">
        <f ca="1">OFFSET(Данные!C102,0,Расчеты!$D$14)</f>
        <v>1355</v>
      </c>
      <c r="AS111" s="4">
        <f ca="1">OFFSET(Данные!C102,0,Расчеты!$D$15)</f>
        <v>0.63</v>
      </c>
    </row>
    <row r="112" spans="2:45" ht="12.75">
      <c r="B112" s="4">
        <f>Данные!B103</f>
        <v>95</v>
      </c>
      <c r="C112" s="4" t="str">
        <f>Данные!C103</f>
        <v>Продукт 95</v>
      </c>
      <c r="D112" s="4">
        <f ca="1">OFFSET(Данные!$C103,0,критерий_сортировки)</f>
        <v>889</v>
      </c>
      <c r="E112" s="27">
        <f t="shared" si="20"/>
        <v>889.000095</v>
      </c>
      <c r="F112" s="28">
        <f t="shared" si="21"/>
        <v>154.000059</v>
      </c>
      <c r="G112" s="28">
        <f t="shared" si="22"/>
        <v>59</v>
      </c>
      <c r="I112" s="4" t="str">
        <f ca="1">OFFSET(Данные!C$8,$G112,0)</f>
        <v>Продукт 59</v>
      </c>
      <c r="J112" s="27">
        <f ca="1">OFFSET(Данные!D$8,$G112,0)</f>
        <v>154</v>
      </c>
      <c r="K112" s="27">
        <f ca="1">OFFSET(Данные!E$8,$G112,0)</f>
        <v>121</v>
      </c>
      <c r="L112" s="5">
        <f ca="1">OFFSET(Данные!F$8,$G112,0)</f>
        <v>0.83</v>
      </c>
      <c r="M112" s="27">
        <f ca="1">OFFSET(Данные!G$8,$G112,0)</f>
        <v>463</v>
      </c>
      <c r="N112" s="27">
        <f ca="1">OFFSET(Данные!H$8,$G112,0)</f>
        <v>79.95</v>
      </c>
      <c r="AR112" s="4">
        <f ca="1">OFFSET(Данные!C103,0,Расчеты!$D$14)</f>
        <v>889</v>
      </c>
      <c r="AS112" s="4">
        <f ca="1">OFFSET(Данные!C103,0,Расчеты!$D$15)</f>
        <v>0.11</v>
      </c>
    </row>
    <row r="113" spans="2:45" ht="12.75">
      <c r="B113" s="4">
        <f>Данные!B104</f>
        <v>96</v>
      </c>
      <c r="C113" s="4" t="str">
        <f>Данные!C104</f>
        <v>Продукт 96</v>
      </c>
      <c r="D113" s="4">
        <f ca="1">OFFSET(Данные!$C104,0,критерий_сортировки)</f>
        <v>1102</v>
      </c>
      <c r="E113" s="27">
        <f t="shared" si="20"/>
        <v>1102.000096</v>
      </c>
      <c r="F113" s="28">
        <f t="shared" si="21"/>
        <v>143.000055</v>
      </c>
      <c r="G113" s="28">
        <f t="shared" si="22"/>
        <v>55</v>
      </c>
      <c r="I113" s="4" t="str">
        <f ca="1">OFFSET(Данные!C$8,$G113,0)</f>
        <v>Продукт 55</v>
      </c>
      <c r="J113" s="27">
        <f ca="1">OFFSET(Данные!D$8,$G113,0)</f>
        <v>143</v>
      </c>
      <c r="K113" s="27">
        <f ca="1">OFFSET(Данные!E$8,$G113,0)</f>
        <v>90</v>
      </c>
      <c r="L113" s="5">
        <f ca="1">OFFSET(Данные!F$8,$G113,0)</f>
        <v>0.42</v>
      </c>
      <c r="M113" s="27">
        <f ca="1">OFFSET(Данные!G$8,$G113,0)</f>
        <v>449</v>
      </c>
      <c r="N113" s="27">
        <f ca="1">OFFSET(Данные!H$8,$G113,0)</f>
        <v>34.5</v>
      </c>
      <c r="AR113" s="4">
        <f ca="1">OFFSET(Данные!C104,0,Расчеты!$D$14)</f>
        <v>1102</v>
      </c>
      <c r="AS113" s="4">
        <f ca="1">OFFSET(Данные!C104,0,Расчеты!$D$15)</f>
        <v>0.16</v>
      </c>
    </row>
    <row r="114" spans="2:45" ht="12.75">
      <c r="B114" s="4">
        <f>Данные!B105</f>
        <v>97</v>
      </c>
      <c r="C114" s="4" t="str">
        <f>Данные!C105</f>
        <v>Продукт 97</v>
      </c>
      <c r="D114" s="4">
        <f ca="1">OFFSET(Данные!$C105,0,критерий_сортировки)</f>
        <v>638</v>
      </c>
      <c r="E114" s="27">
        <f t="shared" si="20"/>
        <v>638.000097</v>
      </c>
      <c r="F114" s="28">
        <f t="shared" si="21"/>
        <v>136.000028</v>
      </c>
      <c r="G114" s="28">
        <f t="shared" si="22"/>
        <v>28</v>
      </c>
      <c r="I114" s="4" t="str">
        <f ca="1">OFFSET(Данные!C$8,$G114,0)</f>
        <v>Продукт 28</v>
      </c>
      <c r="J114" s="27">
        <f ca="1">OFFSET(Данные!D$8,$G114,0)</f>
        <v>136</v>
      </c>
      <c r="K114" s="27">
        <f ca="1">OFFSET(Данные!E$8,$G114,0)</f>
        <v>57</v>
      </c>
      <c r="L114" s="5">
        <f ca="1">OFFSET(Данные!F$8,$G114,0)</f>
        <v>0.07</v>
      </c>
      <c r="M114" s="27">
        <f ca="1">OFFSET(Данные!G$8,$G114,0)</f>
        <v>607</v>
      </c>
      <c r="N114" s="27">
        <f ca="1">OFFSET(Данные!H$8,$G114,0)</f>
        <v>985.32</v>
      </c>
      <c r="AR114" s="4">
        <f ca="1">OFFSET(Данные!C105,0,Расчеты!$D$14)</f>
        <v>638</v>
      </c>
      <c r="AS114" s="4">
        <f ca="1">OFFSET(Данные!C105,0,Расчеты!$D$15)</f>
        <v>0.65</v>
      </c>
    </row>
    <row r="115" spans="2:45" ht="12.75">
      <c r="B115" s="4">
        <f>Данные!B106</f>
        <v>98</v>
      </c>
      <c r="C115" s="4" t="str">
        <f>Данные!C106</f>
        <v>Продукт 98</v>
      </c>
      <c r="D115" s="4">
        <f ca="1">OFFSET(Данные!$C106,0,критерий_сортировки)</f>
        <v>885</v>
      </c>
      <c r="E115" s="27">
        <f t="shared" si="20"/>
        <v>885.000098</v>
      </c>
      <c r="F115" s="28">
        <f t="shared" si="21"/>
        <v>130.000092</v>
      </c>
      <c r="G115" s="28">
        <f t="shared" si="22"/>
        <v>92</v>
      </c>
      <c r="I115" s="4" t="str">
        <f ca="1">OFFSET(Данные!C$8,$G115,0)</f>
        <v>Продукт 92</v>
      </c>
      <c r="J115" s="27">
        <f ca="1">OFFSET(Данные!D$8,$G115,0)</f>
        <v>130</v>
      </c>
      <c r="K115" s="27">
        <f ca="1">OFFSET(Данные!E$8,$G115,0)</f>
        <v>244</v>
      </c>
      <c r="L115" s="5">
        <f ca="1">OFFSET(Данные!F$8,$G115,0)</f>
        <v>0.08</v>
      </c>
      <c r="M115" s="27">
        <f ca="1">OFFSET(Данные!G$8,$G115,0)</f>
        <v>391</v>
      </c>
      <c r="N115" s="27">
        <f ca="1">OFFSET(Данные!H$8,$G115,0)</f>
        <v>384.97</v>
      </c>
      <c r="AR115" s="4">
        <f ca="1">OFFSET(Данные!C106,0,Расчеты!$D$14)</f>
        <v>885</v>
      </c>
      <c r="AS115" s="4">
        <f ca="1">OFFSET(Данные!C106,0,Расчеты!$D$15)</f>
        <v>0.35</v>
      </c>
    </row>
    <row r="116" spans="2:45" ht="12.75">
      <c r="B116" s="4">
        <f>Данные!B107</f>
        <v>99</v>
      </c>
      <c r="C116" s="4" t="str">
        <f>Данные!C107</f>
        <v>Продукт 99</v>
      </c>
      <c r="D116" s="4">
        <f ca="1">OFFSET(Данные!$C107,0,критерий_сортировки)</f>
        <v>1188</v>
      </c>
      <c r="E116" s="27">
        <f t="shared" si="20"/>
        <v>1188.000099</v>
      </c>
      <c r="F116" s="28">
        <f t="shared" si="21"/>
        <v>120.000051</v>
      </c>
      <c r="G116" s="28">
        <f t="shared" si="22"/>
        <v>51</v>
      </c>
      <c r="I116" s="4" t="str">
        <f ca="1">OFFSET(Данные!C$8,$G116,0)</f>
        <v>Продукт 51</v>
      </c>
      <c r="J116" s="27">
        <f ca="1">OFFSET(Данные!D$8,$G116,0)</f>
        <v>120</v>
      </c>
      <c r="K116" s="27">
        <f ca="1">OFFSET(Данные!E$8,$G116,0)</f>
        <v>64</v>
      </c>
      <c r="L116" s="5">
        <f ca="1">OFFSET(Данные!F$8,$G116,0)</f>
        <v>0.46</v>
      </c>
      <c r="M116" s="27">
        <f ca="1">OFFSET(Данные!G$8,$G116,0)</f>
        <v>274</v>
      </c>
      <c r="N116" s="27">
        <f ca="1">OFFSET(Данные!H$8,$G116,0)</f>
        <v>880.23</v>
      </c>
      <c r="AR116" s="4">
        <f ca="1">OFFSET(Данные!C107,0,Расчеты!$D$14)</f>
        <v>1188</v>
      </c>
      <c r="AS116" s="4">
        <f ca="1">OFFSET(Данные!C107,0,Расчеты!$D$15)</f>
        <v>0.39</v>
      </c>
    </row>
    <row r="117" spans="2:45" ht="12.75">
      <c r="B117" s="29">
        <f>Данные!B108</f>
        <v>100</v>
      </c>
      <c r="C117" s="29" t="str">
        <f>Данные!C108</f>
        <v>Продукт 100</v>
      </c>
      <c r="D117" s="29">
        <f ca="1">OFFSET(Данные!$C108,0,критерий_сортировки)</f>
        <v>1338</v>
      </c>
      <c r="E117" s="30">
        <f t="shared" si="20"/>
        <v>1338.0001</v>
      </c>
      <c r="F117" s="31">
        <f t="shared" si="21"/>
        <v>107.000008</v>
      </c>
      <c r="G117" s="31">
        <f t="shared" si="22"/>
        <v>8</v>
      </c>
      <c r="I117" s="29" t="str">
        <f ca="1">OFFSET(Данные!C$8,$G117,0)</f>
        <v>Продукт 8</v>
      </c>
      <c r="J117" s="30">
        <f ca="1">OFFSET(Данные!D$8,$G117,0)</f>
        <v>107</v>
      </c>
      <c r="K117" s="30">
        <f ca="1">OFFSET(Данные!E$8,$G117,0)</f>
        <v>16</v>
      </c>
      <c r="L117" s="34">
        <f ca="1">OFFSET(Данные!F$8,$G117,0)</f>
        <v>0.59</v>
      </c>
      <c r="M117" s="30">
        <f ca="1">OFFSET(Данные!G$8,$G117,0)</f>
        <v>280</v>
      </c>
      <c r="N117" s="30">
        <f ca="1">OFFSET(Данные!H$8,$G117,0)</f>
        <v>532.21</v>
      </c>
      <c r="AR117" s="29">
        <f ca="1">OFFSET(Данные!C108,0,Расчеты!$D$14)</f>
        <v>1338</v>
      </c>
      <c r="AS117" s="29">
        <f ca="1">OFFSET(Данные!C108,0,Расчеты!$D$15)</f>
        <v>0.28</v>
      </c>
    </row>
  </sheetData>
  <sheetProtection/>
  <mergeCells count="7">
    <mergeCell ref="AX14:BH14"/>
    <mergeCell ref="AR14:AV14"/>
    <mergeCell ref="P16:T16"/>
    <mergeCell ref="U16:Y16"/>
    <mergeCell ref="Z16:AD16"/>
    <mergeCell ref="AE16:AI16"/>
    <mergeCell ref="AJ16:AN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Таблица с прокруткой для дашборда</dc:title>
  <dc:subject>ExcelttipRu blog post</dc:subject>
  <dc:creator>Smith</dc:creator>
  <cp:keywords/>
  <dc:description/>
  <cp:lastModifiedBy>Lotfullin,Renat,SAMARA,IPG</cp:lastModifiedBy>
  <dcterms:created xsi:type="dcterms:W3CDTF">2013-03-29T19:14:22Z</dcterms:created>
  <dcterms:modified xsi:type="dcterms:W3CDTF">2013-04-05T04:25:56Z</dcterms:modified>
  <cp:category/>
  <cp:version/>
  <cp:contentType/>
  <cp:contentStatus/>
</cp:coreProperties>
</file>